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inder\Documents\"/>
    </mc:Choice>
  </mc:AlternateContent>
  <bookViews>
    <workbookView xWindow="0" yWindow="0" windowWidth="28800" windowHeight="12435"/>
  </bookViews>
  <sheets>
    <sheet name="Worksheet 1 (SOV and SCM AREA)" sheetId="1" r:id="rId1"/>
    <sheet name="Worksheet 2 Restorative Credits" sheetId="2" r:id="rId2"/>
    <sheet name="Worksheet 3 (SCM Sizing)" sheetId="3" r:id="rId3"/>
    <sheet name="Worksheet 4 (CN Adj)" sheetId="4" r:id="rId4"/>
    <sheet name="Summary Tabl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T27" i="3" l="1"/>
  <c r="I52" i="4" s="1"/>
  <c r="T26" i="3"/>
  <c r="I46" i="4" s="1"/>
  <c r="T25" i="3"/>
  <c r="I40" i="4" s="1"/>
  <c r="T24" i="3"/>
  <c r="I34" i="4" s="1"/>
  <c r="T23" i="3"/>
  <c r="I28" i="4" s="1"/>
  <c r="T22" i="3"/>
  <c r="I22" i="4" s="1"/>
  <c r="T21" i="3"/>
  <c r="I16" i="4" s="1"/>
  <c r="T20" i="3"/>
  <c r="I10" i="4" s="1"/>
  <c r="C3" i="5" l="1"/>
  <c r="C2" i="5"/>
  <c r="C1" i="5"/>
  <c r="B7" i="5" l="1"/>
  <c r="B3" i="4"/>
  <c r="B2" i="4"/>
  <c r="B1" i="4"/>
  <c r="C3" i="3"/>
  <c r="C2" i="3"/>
  <c r="C1" i="3"/>
  <c r="C3" i="2"/>
  <c r="C2" i="2"/>
  <c r="C1" i="2"/>
  <c r="AE14" i="4" l="1"/>
  <c r="AD14" i="4"/>
  <c r="AE13" i="4"/>
  <c r="AD13" i="4"/>
  <c r="AE10" i="4"/>
  <c r="AD10" i="4"/>
  <c r="H41" i="3"/>
  <c r="I41" i="3" s="1"/>
  <c r="H40" i="3"/>
  <c r="I40" i="3" s="1"/>
  <c r="M39" i="3"/>
  <c r="J39" i="3"/>
  <c r="N39" i="3" s="1"/>
  <c r="H39" i="3"/>
  <c r="I39" i="3" s="1"/>
  <c r="H37" i="3"/>
  <c r="I37" i="3" s="1"/>
  <c r="H36" i="3"/>
  <c r="I36" i="3" s="1"/>
  <c r="M35" i="3"/>
  <c r="J35" i="3"/>
  <c r="N35" i="3" s="1"/>
  <c r="H35" i="3"/>
  <c r="I35" i="3" s="1"/>
  <c r="H33" i="3"/>
  <c r="I33" i="3" s="1"/>
  <c r="H32" i="3"/>
  <c r="I32" i="3" s="1"/>
  <c r="J31" i="3"/>
  <c r="H31" i="3"/>
  <c r="I31" i="3" s="1"/>
  <c r="H29" i="3"/>
  <c r="I29" i="3" s="1"/>
  <c r="H28" i="3"/>
  <c r="I28" i="3" s="1"/>
  <c r="M27" i="3"/>
  <c r="J27" i="3"/>
  <c r="H27" i="3"/>
  <c r="I27" i="3" s="1"/>
  <c r="H25" i="3"/>
  <c r="I25" i="3" s="1"/>
  <c r="I24" i="3"/>
  <c r="H24" i="3"/>
  <c r="M23" i="3"/>
  <c r="J23" i="3"/>
  <c r="I23" i="3"/>
  <c r="K23" i="3" s="1"/>
  <c r="H23" i="3"/>
  <c r="H21" i="3"/>
  <c r="I21" i="3" s="1"/>
  <c r="H20" i="3"/>
  <c r="I20" i="3" s="1"/>
  <c r="J19" i="3"/>
  <c r="H19" i="3"/>
  <c r="H17" i="3"/>
  <c r="I17" i="3" s="1"/>
  <c r="H16" i="3"/>
  <c r="I16" i="3" s="1"/>
  <c r="J15" i="3"/>
  <c r="H15" i="3"/>
  <c r="I15" i="3" s="1"/>
  <c r="H13" i="3"/>
  <c r="I13" i="3" s="1"/>
  <c r="H12" i="3"/>
  <c r="I12" i="3" s="1"/>
  <c r="J11" i="3"/>
  <c r="H11" i="3"/>
  <c r="I11" i="3" s="1"/>
  <c r="G40" i="2"/>
  <c r="G39" i="2"/>
  <c r="G38" i="2"/>
  <c r="G36" i="2"/>
  <c r="G35" i="2"/>
  <c r="G34" i="2"/>
  <c r="G32" i="2"/>
  <c r="G31" i="2"/>
  <c r="G30" i="2"/>
  <c r="G28" i="2"/>
  <c r="G27" i="2"/>
  <c r="G26" i="2"/>
  <c r="G24" i="2"/>
  <c r="G23" i="2"/>
  <c r="G22" i="2"/>
  <c r="G20" i="2"/>
  <c r="G19" i="2"/>
  <c r="G18" i="2"/>
  <c r="G16" i="2"/>
  <c r="G15" i="2"/>
  <c r="G14" i="2"/>
  <c r="G12" i="2"/>
  <c r="G11" i="2"/>
  <c r="G10" i="2"/>
  <c r="AB91" i="1"/>
  <c r="V91" i="1"/>
  <c r="W91" i="1" s="1"/>
  <c r="Y91" i="1" s="1"/>
  <c r="S91" i="1"/>
  <c r="R91" i="1"/>
  <c r="H91" i="1"/>
  <c r="G91" i="1"/>
  <c r="F91" i="1"/>
  <c r="D91" i="1"/>
  <c r="O91" i="1" s="1"/>
  <c r="P91" i="1" s="1"/>
  <c r="AB90" i="1"/>
  <c r="V90" i="1"/>
  <c r="W90" i="1" s="1"/>
  <c r="Y90" i="1" s="1"/>
  <c r="S90" i="1"/>
  <c r="R90" i="1"/>
  <c r="H90" i="1"/>
  <c r="G90" i="1"/>
  <c r="F90" i="1"/>
  <c r="D90" i="1"/>
  <c r="O90" i="1" s="1"/>
  <c r="P90" i="1" s="1"/>
  <c r="AB89" i="1"/>
  <c r="V89" i="1"/>
  <c r="W89" i="1" s="1"/>
  <c r="Y89" i="1" s="1"/>
  <c r="S89" i="1"/>
  <c r="R89" i="1"/>
  <c r="H89" i="1"/>
  <c r="G89" i="1"/>
  <c r="F89" i="1"/>
  <c r="D89" i="1"/>
  <c r="O89" i="1" s="1"/>
  <c r="P89" i="1" s="1"/>
  <c r="AB88" i="1"/>
  <c r="V88" i="1"/>
  <c r="W88" i="1" s="1"/>
  <c r="Y88" i="1" s="1"/>
  <c r="S88" i="1"/>
  <c r="R88" i="1"/>
  <c r="H88" i="1"/>
  <c r="G88" i="1"/>
  <c r="F88" i="1"/>
  <c r="D88" i="1"/>
  <c r="O88" i="1" s="1"/>
  <c r="P88" i="1" s="1"/>
  <c r="AB87" i="1"/>
  <c r="V87" i="1"/>
  <c r="W87" i="1" s="1"/>
  <c r="Y87" i="1" s="1"/>
  <c r="S87" i="1"/>
  <c r="R87" i="1"/>
  <c r="H87" i="1"/>
  <c r="G87" i="1"/>
  <c r="F87" i="1"/>
  <c r="D87" i="1"/>
  <c r="O87" i="1" s="1"/>
  <c r="P87" i="1" s="1"/>
  <c r="AB86" i="1"/>
  <c r="V86" i="1"/>
  <c r="W86" i="1" s="1"/>
  <c r="Y86" i="1" s="1"/>
  <c r="S86" i="1"/>
  <c r="R86" i="1"/>
  <c r="H86" i="1"/>
  <c r="G86" i="1"/>
  <c r="F86" i="1"/>
  <c r="D86" i="1"/>
  <c r="O86" i="1" s="1"/>
  <c r="P86" i="1" s="1"/>
  <c r="AB85" i="1"/>
  <c r="V85" i="1"/>
  <c r="W85" i="1" s="1"/>
  <c r="Y85" i="1" s="1"/>
  <c r="S85" i="1"/>
  <c r="R85" i="1"/>
  <c r="H85" i="1"/>
  <c r="G85" i="1"/>
  <c r="F85" i="1"/>
  <c r="D85" i="1"/>
  <c r="O85" i="1" s="1"/>
  <c r="P85" i="1" s="1"/>
  <c r="AB84" i="1"/>
  <c r="V84" i="1"/>
  <c r="W84" i="1" s="1"/>
  <c r="Y84" i="1" s="1"/>
  <c r="S84" i="1"/>
  <c r="R84" i="1"/>
  <c r="H84" i="1"/>
  <c r="G84" i="1"/>
  <c r="F84" i="1"/>
  <c r="D84" i="1"/>
  <c r="O84" i="1" s="1"/>
  <c r="P84" i="1" s="1"/>
  <c r="AB83" i="1"/>
  <c r="V83" i="1"/>
  <c r="W83" i="1" s="1"/>
  <c r="Y83" i="1" s="1"/>
  <c r="S83" i="1"/>
  <c r="R83" i="1"/>
  <c r="H83" i="1"/>
  <c r="G83" i="1"/>
  <c r="F83" i="1"/>
  <c r="D83" i="1"/>
  <c r="O83" i="1" s="1"/>
  <c r="P83" i="1" s="1"/>
  <c r="AB82" i="1"/>
  <c r="V82" i="1"/>
  <c r="W82" i="1" s="1"/>
  <c r="Y82" i="1" s="1"/>
  <c r="S82" i="1"/>
  <c r="R82" i="1"/>
  <c r="H82" i="1"/>
  <c r="G82" i="1"/>
  <c r="F82" i="1"/>
  <c r="D82" i="1"/>
  <c r="O82" i="1" s="1"/>
  <c r="P82" i="1" s="1"/>
  <c r="AB81" i="1"/>
  <c r="V81" i="1"/>
  <c r="W81" i="1" s="1"/>
  <c r="Y81" i="1" s="1"/>
  <c r="S81" i="1"/>
  <c r="R81" i="1"/>
  <c r="H81" i="1"/>
  <c r="G81" i="1"/>
  <c r="F81" i="1"/>
  <c r="D81" i="1"/>
  <c r="O81" i="1" s="1"/>
  <c r="P81" i="1" s="1"/>
  <c r="AB80" i="1"/>
  <c r="V80" i="1"/>
  <c r="W80" i="1" s="1"/>
  <c r="Y80" i="1" s="1"/>
  <c r="S80" i="1"/>
  <c r="R80" i="1"/>
  <c r="H80" i="1"/>
  <c r="G80" i="1"/>
  <c r="F80" i="1"/>
  <c r="D80" i="1"/>
  <c r="O80" i="1" s="1"/>
  <c r="P80" i="1" s="1"/>
  <c r="AB79" i="1"/>
  <c r="V79" i="1"/>
  <c r="W79" i="1" s="1"/>
  <c r="Y79" i="1" s="1"/>
  <c r="S79" i="1"/>
  <c r="R79" i="1"/>
  <c r="H79" i="1"/>
  <c r="G79" i="1"/>
  <c r="F79" i="1"/>
  <c r="D79" i="1"/>
  <c r="O79" i="1" s="1"/>
  <c r="P79" i="1" s="1"/>
  <c r="AB78" i="1"/>
  <c r="V78" i="1"/>
  <c r="W78" i="1" s="1"/>
  <c r="Y78" i="1" s="1"/>
  <c r="S78" i="1" s="1"/>
  <c r="R78" i="1"/>
  <c r="H78" i="1"/>
  <c r="G78" i="1"/>
  <c r="F78" i="1"/>
  <c r="D78" i="1"/>
  <c r="O78" i="1" s="1"/>
  <c r="P78" i="1" s="1"/>
  <c r="AB77" i="1"/>
  <c r="V77" i="1"/>
  <c r="W77" i="1" s="1"/>
  <c r="Y77" i="1" s="1"/>
  <c r="S77" i="1" s="1"/>
  <c r="R77" i="1"/>
  <c r="H77" i="1"/>
  <c r="G77" i="1"/>
  <c r="F77" i="1"/>
  <c r="D77" i="1"/>
  <c r="O77" i="1" s="1"/>
  <c r="P77" i="1" s="1"/>
  <c r="AB76" i="1"/>
  <c r="V76" i="1"/>
  <c r="W76" i="1" s="1"/>
  <c r="Y76" i="1" s="1"/>
  <c r="S76" i="1" s="1"/>
  <c r="R76" i="1"/>
  <c r="H76" i="1"/>
  <c r="G76" i="1"/>
  <c r="F76" i="1"/>
  <c r="D76" i="1"/>
  <c r="O76" i="1" s="1"/>
  <c r="P76" i="1" s="1"/>
  <c r="AB75" i="1"/>
  <c r="Y75" i="1"/>
  <c r="S75" i="1" s="1"/>
  <c r="V75" i="1"/>
  <c r="W75" i="1" s="1"/>
  <c r="R75" i="1"/>
  <c r="H75" i="1"/>
  <c r="G75" i="1"/>
  <c r="F75" i="1"/>
  <c r="D75" i="1"/>
  <c r="O75" i="1" s="1"/>
  <c r="P75" i="1" s="1"/>
  <c r="AB74" i="1"/>
  <c r="V74" i="1"/>
  <c r="W74" i="1" s="1"/>
  <c r="Y74" i="1" s="1"/>
  <c r="S74" i="1" s="1"/>
  <c r="R74" i="1"/>
  <c r="H74" i="1"/>
  <c r="G74" i="1"/>
  <c r="F74" i="1"/>
  <c r="D74" i="1"/>
  <c r="O74" i="1" s="1"/>
  <c r="P74" i="1" s="1"/>
  <c r="AB73" i="1"/>
  <c r="V73" i="1"/>
  <c r="W73" i="1" s="1"/>
  <c r="Y73" i="1" s="1"/>
  <c r="S73" i="1" s="1"/>
  <c r="R73" i="1"/>
  <c r="H73" i="1"/>
  <c r="G73" i="1"/>
  <c r="F73" i="1"/>
  <c r="D73" i="1"/>
  <c r="O73" i="1" s="1"/>
  <c r="P73" i="1" s="1"/>
  <c r="AB72" i="1"/>
  <c r="V72" i="1"/>
  <c r="W72" i="1" s="1"/>
  <c r="Y72" i="1" s="1"/>
  <c r="S72" i="1" s="1"/>
  <c r="R72" i="1"/>
  <c r="H72" i="1"/>
  <c r="G72" i="1"/>
  <c r="F72" i="1"/>
  <c r="D72" i="1"/>
  <c r="O72" i="1" s="1"/>
  <c r="P72" i="1" s="1"/>
  <c r="AB71" i="1"/>
  <c r="V71" i="1"/>
  <c r="W71" i="1" s="1"/>
  <c r="Y71" i="1" s="1"/>
  <c r="S71" i="1" s="1"/>
  <c r="R71" i="1"/>
  <c r="H71" i="1"/>
  <c r="G71" i="1"/>
  <c r="F71" i="1"/>
  <c r="D71" i="1"/>
  <c r="O71" i="1" s="1"/>
  <c r="P71" i="1" s="1"/>
  <c r="AB70" i="1"/>
  <c r="V70" i="1"/>
  <c r="W70" i="1" s="1"/>
  <c r="Y70" i="1" s="1"/>
  <c r="S70" i="1" s="1"/>
  <c r="R70" i="1"/>
  <c r="H70" i="1"/>
  <c r="G70" i="1"/>
  <c r="F70" i="1"/>
  <c r="D70" i="1"/>
  <c r="O70" i="1" s="1"/>
  <c r="P70" i="1" s="1"/>
  <c r="AB69" i="1"/>
  <c r="V69" i="1"/>
  <c r="W69" i="1" s="1"/>
  <c r="Y69" i="1" s="1"/>
  <c r="S69" i="1" s="1"/>
  <c r="R69" i="1"/>
  <c r="H69" i="1"/>
  <c r="G69" i="1"/>
  <c r="F69" i="1"/>
  <c r="D69" i="1"/>
  <c r="O69" i="1" s="1"/>
  <c r="P69" i="1" s="1"/>
  <c r="AB68" i="1"/>
  <c r="V68" i="1"/>
  <c r="W68" i="1" s="1"/>
  <c r="Y68" i="1" s="1"/>
  <c r="S68" i="1" s="1"/>
  <c r="R68" i="1"/>
  <c r="H68" i="1"/>
  <c r="G68" i="1"/>
  <c r="F68" i="1"/>
  <c r="D68" i="1"/>
  <c r="O68" i="1" s="1"/>
  <c r="P68" i="1" s="1"/>
  <c r="AB67" i="1"/>
  <c r="V67" i="1"/>
  <c r="W67" i="1" s="1"/>
  <c r="Y67" i="1" s="1"/>
  <c r="S67" i="1" s="1"/>
  <c r="R67" i="1"/>
  <c r="H67" i="1"/>
  <c r="G67" i="1"/>
  <c r="F67" i="1"/>
  <c r="D67" i="1"/>
  <c r="O67" i="1" s="1"/>
  <c r="P67" i="1" s="1"/>
  <c r="AB66" i="1"/>
  <c r="V66" i="1"/>
  <c r="W66" i="1" s="1"/>
  <c r="R66" i="1"/>
  <c r="G66" i="1"/>
  <c r="H66" i="1" s="1"/>
  <c r="F66" i="1"/>
  <c r="D66" i="1"/>
  <c r="O66" i="1" s="1"/>
  <c r="P66" i="1" s="1"/>
  <c r="AB65" i="1"/>
  <c r="V65" i="1"/>
  <c r="W65" i="1" s="1"/>
  <c r="R65" i="1"/>
  <c r="G65" i="1"/>
  <c r="H65" i="1" s="1"/>
  <c r="F65" i="1"/>
  <c r="D65" i="1"/>
  <c r="O65" i="1" s="1"/>
  <c r="P65" i="1" s="1"/>
  <c r="AB64" i="1"/>
  <c r="V64" i="1"/>
  <c r="W64" i="1" s="1"/>
  <c r="R64" i="1"/>
  <c r="G64" i="1"/>
  <c r="H64" i="1" s="1"/>
  <c r="F64" i="1"/>
  <c r="D64" i="1"/>
  <c r="O64" i="1" s="1"/>
  <c r="P64" i="1" s="1"/>
  <c r="AB63" i="1"/>
  <c r="V63" i="1"/>
  <c r="W63" i="1" s="1"/>
  <c r="R63" i="1"/>
  <c r="G63" i="1"/>
  <c r="H63" i="1" s="1"/>
  <c r="F63" i="1"/>
  <c r="D63" i="1"/>
  <c r="O63" i="1" s="1"/>
  <c r="P63" i="1" s="1"/>
  <c r="AB62" i="1"/>
  <c r="V62" i="1"/>
  <c r="W62" i="1" s="1"/>
  <c r="R62" i="1"/>
  <c r="G62" i="1"/>
  <c r="H62" i="1" s="1"/>
  <c r="F62" i="1"/>
  <c r="D62" i="1"/>
  <c r="O62" i="1" s="1"/>
  <c r="P62" i="1" s="1"/>
  <c r="AB61" i="1"/>
  <c r="V61" i="1"/>
  <c r="W61" i="1" s="1"/>
  <c r="R61" i="1"/>
  <c r="G61" i="1"/>
  <c r="H61" i="1" s="1"/>
  <c r="F61" i="1"/>
  <c r="D61" i="1"/>
  <c r="O61" i="1" s="1"/>
  <c r="P61" i="1" s="1"/>
  <c r="AB60" i="1"/>
  <c r="V60" i="1"/>
  <c r="W60" i="1" s="1"/>
  <c r="R60" i="1"/>
  <c r="G60" i="1"/>
  <c r="H60" i="1" s="1"/>
  <c r="F60" i="1"/>
  <c r="D60" i="1"/>
  <c r="O60" i="1" s="1"/>
  <c r="P60" i="1" s="1"/>
  <c r="AB59" i="1"/>
  <c r="V59" i="1"/>
  <c r="W59" i="1" s="1"/>
  <c r="R59" i="1"/>
  <c r="G59" i="1"/>
  <c r="H59" i="1" s="1"/>
  <c r="F59" i="1"/>
  <c r="D59" i="1"/>
  <c r="O59" i="1" s="1"/>
  <c r="P59" i="1" s="1"/>
  <c r="AB58" i="1"/>
  <c r="V58" i="1"/>
  <c r="W58" i="1" s="1"/>
  <c r="R58" i="1"/>
  <c r="G58" i="1"/>
  <c r="H58" i="1" s="1"/>
  <c r="F58" i="1"/>
  <c r="D58" i="1"/>
  <c r="O58" i="1" s="1"/>
  <c r="P58" i="1" s="1"/>
  <c r="AB57" i="1"/>
  <c r="V57" i="1"/>
  <c r="W57" i="1" s="1"/>
  <c r="R57" i="1"/>
  <c r="G57" i="1"/>
  <c r="H57" i="1" s="1"/>
  <c r="F57" i="1"/>
  <c r="D57" i="1"/>
  <c r="O57" i="1" s="1"/>
  <c r="P57" i="1" s="1"/>
  <c r="AB56" i="1"/>
  <c r="V56" i="1"/>
  <c r="W56" i="1" s="1"/>
  <c r="R56" i="1"/>
  <c r="G56" i="1"/>
  <c r="H56" i="1" s="1"/>
  <c r="F56" i="1"/>
  <c r="D56" i="1"/>
  <c r="O56" i="1" s="1"/>
  <c r="P56" i="1" s="1"/>
  <c r="AB55" i="1"/>
  <c r="V55" i="1"/>
  <c r="W55" i="1" s="1"/>
  <c r="R55" i="1"/>
  <c r="G55" i="1"/>
  <c r="H55" i="1" s="1"/>
  <c r="F55" i="1"/>
  <c r="D55" i="1"/>
  <c r="O55" i="1" s="1"/>
  <c r="P55" i="1" s="1"/>
  <c r="AB54" i="1"/>
  <c r="V54" i="1"/>
  <c r="W54" i="1" s="1"/>
  <c r="R54" i="1"/>
  <c r="G54" i="1"/>
  <c r="H54" i="1" s="1"/>
  <c r="F54" i="1"/>
  <c r="D54" i="1"/>
  <c r="O54" i="1" s="1"/>
  <c r="P54" i="1" s="1"/>
  <c r="AB53" i="1"/>
  <c r="V53" i="1"/>
  <c r="W53" i="1" s="1"/>
  <c r="R53" i="1"/>
  <c r="G53" i="1"/>
  <c r="H53" i="1" s="1"/>
  <c r="F53" i="1"/>
  <c r="D53" i="1"/>
  <c r="O53" i="1" s="1"/>
  <c r="P53" i="1" s="1"/>
  <c r="AB52" i="1"/>
  <c r="V52" i="1"/>
  <c r="W52" i="1" s="1"/>
  <c r="R52" i="1"/>
  <c r="G52" i="1"/>
  <c r="H52" i="1" s="1"/>
  <c r="F52" i="1"/>
  <c r="D52" i="1"/>
  <c r="O52" i="1" s="1"/>
  <c r="P52" i="1" s="1"/>
  <c r="H41" i="1"/>
  <c r="G41" i="1"/>
  <c r="F41" i="1"/>
  <c r="E41" i="1"/>
  <c r="H39" i="1"/>
  <c r="G39" i="1"/>
  <c r="F39" i="1"/>
  <c r="E39" i="1"/>
  <c r="H38" i="1"/>
  <c r="G38" i="1"/>
  <c r="F38" i="1"/>
  <c r="E38" i="1"/>
  <c r="H37" i="1"/>
  <c r="G37" i="1"/>
  <c r="F37" i="1"/>
  <c r="E37" i="1"/>
  <c r="F24" i="1"/>
  <c r="H23" i="1"/>
  <c r="F21" i="1"/>
  <c r="H20" i="1"/>
  <c r="H19" i="1"/>
  <c r="H18" i="1"/>
  <c r="H17" i="1"/>
  <c r="H16" i="1"/>
  <c r="H15" i="1"/>
  <c r="H14" i="1"/>
  <c r="H13" i="1"/>
  <c r="H12" i="1"/>
  <c r="F9" i="1"/>
  <c r="O23" i="3" l="1"/>
  <c r="M19" i="3"/>
  <c r="Y52" i="1"/>
  <c r="S52" i="1" s="1"/>
  <c r="Y54" i="1"/>
  <c r="S54" i="1" s="1"/>
  <c r="Y56" i="1"/>
  <c r="S56" i="1" s="1"/>
  <c r="Y58" i="1"/>
  <c r="S58" i="1" s="1"/>
  <c r="Y62" i="1"/>
  <c r="S62" i="1" s="1"/>
  <c r="H21" i="1"/>
  <c r="F25" i="1"/>
  <c r="H25" i="1" s="1"/>
  <c r="F22" i="1"/>
  <c r="F29" i="1" s="1"/>
  <c r="F30" i="1" s="1"/>
  <c r="Y53" i="1"/>
  <c r="S53" i="1" s="1"/>
  <c r="Y55" i="1"/>
  <c r="S55" i="1" s="1"/>
  <c r="Y57" i="1"/>
  <c r="S57" i="1" s="1"/>
  <c r="Y59" i="1"/>
  <c r="S59" i="1" s="1"/>
  <c r="Y63" i="1"/>
  <c r="S63" i="1" s="1"/>
  <c r="Y66" i="1"/>
  <c r="S66" i="1" s="1"/>
  <c r="M31" i="3"/>
  <c r="K27" i="3"/>
  <c r="O27" i="3" s="1"/>
  <c r="I16" i="5"/>
  <c r="H28" i="4" s="1"/>
  <c r="J28" i="4" s="1"/>
  <c r="O25" i="3"/>
  <c r="K15" i="3"/>
  <c r="I14" i="5" s="1"/>
  <c r="H16" i="4" s="1"/>
  <c r="J16" i="4" s="1"/>
  <c r="Y60" i="1"/>
  <c r="S60" i="1" s="1"/>
  <c r="Y64" i="1"/>
  <c r="S64" i="1" s="1"/>
  <c r="Y61" i="1"/>
  <c r="S61" i="1" s="1"/>
  <c r="Y65" i="1"/>
  <c r="S65" i="1" s="1"/>
  <c r="M15" i="3"/>
  <c r="H24" i="1"/>
  <c r="H20" i="5"/>
  <c r="I19" i="3"/>
  <c r="K19" i="3" s="1"/>
  <c r="K31" i="3"/>
  <c r="K39" i="3"/>
  <c r="H19" i="5"/>
  <c r="M11" i="3"/>
  <c r="K11" i="3"/>
  <c r="K35" i="3"/>
  <c r="E94" i="1"/>
  <c r="F26" i="1"/>
  <c r="H26" i="1" s="1"/>
  <c r="I19" i="5" l="1"/>
  <c r="H46" i="4" s="1"/>
  <c r="J46" i="4" s="1"/>
  <c r="O35" i="3"/>
  <c r="O36" i="3"/>
  <c r="O37" i="3"/>
  <c r="I20" i="5"/>
  <c r="H52" i="4" s="1"/>
  <c r="J52" i="4" s="1"/>
  <c r="O39" i="3"/>
  <c r="O41" i="3"/>
  <c r="O40" i="3"/>
  <c r="O15" i="3"/>
  <c r="O31" i="3"/>
  <c r="O21" i="3"/>
  <c r="O19" i="3"/>
  <c r="O11" i="3"/>
  <c r="E14" i="5"/>
  <c r="C14" i="2" s="1"/>
  <c r="H14" i="2" s="1"/>
  <c r="F14" i="5" s="1"/>
  <c r="O13" i="3"/>
  <c r="E19" i="5"/>
  <c r="C34" i="2" s="1"/>
  <c r="H34" i="2" s="1"/>
  <c r="F19" i="5" s="1"/>
  <c r="H22" i="1"/>
  <c r="I18" i="5"/>
  <c r="H40" i="4" s="1"/>
  <c r="J40" i="4" s="1"/>
  <c r="O33" i="3"/>
  <c r="I17" i="5"/>
  <c r="H34" i="4" s="1"/>
  <c r="J34" i="4" s="1"/>
  <c r="O29" i="3"/>
  <c r="O17" i="3"/>
  <c r="C17" i="5"/>
  <c r="D20" i="5"/>
  <c r="E15" i="5"/>
  <c r="C18" i="2" s="1"/>
  <c r="H18" i="2" s="1"/>
  <c r="F15" i="5" s="1"/>
  <c r="C13" i="5"/>
  <c r="D14" i="5"/>
  <c r="N15" i="3" s="1"/>
  <c r="H14" i="5" s="1"/>
  <c r="D18" i="5"/>
  <c r="N31" i="3" s="1"/>
  <c r="H18" i="5" s="1"/>
  <c r="C19" i="5"/>
  <c r="C16" i="5"/>
  <c r="D15" i="5"/>
  <c r="N19" i="3" s="1"/>
  <c r="H15" i="5" s="1"/>
  <c r="E16" i="5"/>
  <c r="C22" i="2" s="1"/>
  <c r="H22" i="2" s="1"/>
  <c r="I22" i="2" s="1"/>
  <c r="L23" i="3" s="1"/>
  <c r="G16" i="5" s="1"/>
  <c r="J16" i="5" s="1"/>
  <c r="E20" i="5"/>
  <c r="C38" i="2" s="1"/>
  <c r="H38" i="2" s="1"/>
  <c r="C20" i="5"/>
  <c r="C15" i="5"/>
  <c r="C18" i="5"/>
  <c r="D16" i="5"/>
  <c r="N23" i="3" s="1"/>
  <c r="D13" i="5"/>
  <c r="N11" i="3" s="1"/>
  <c r="O12" i="3" s="1"/>
  <c r="E13" i="5"/>
  <c r="C10" i="2" s="1"/>
  <c r="H10" i="2" s="1"/>
  <c r="F13" i="5" s="1"/>
  <c r="E17" i="5"/>
  <c r="C26" i="2" s="1"/>
  <c r="H26" i="2" s="1"/>
  <c r="F17" i="5" s="1"/>
  <c r="D17" i="5"/>
  <c r="N27" i="3" s="1"/>
  <c r="H17" i="5" s="1"/>
  <c r="D19" i="5"/>
  <c r="C14" i="5"/>
  <c r="E18" i="5"/>
  <c r="C30" i="2" s="1"/>
  <c r="H30" i="2" s="1"/>
  <c r="I15" i="5"/>
  <c r="H22" i="4" s="1"/>
  <c r="J22" i="4" s="1"/>
  <c r="I13" i="5"/>
  <c r="H10" i="4" s="1"/>
  <c r="J10" i="4" s="1"/>
  <c r="K44" i="3"/>
  <c r="I14" i="2" l="1"/>
  <c r="L15" i="3" s="1"/>
  <c r="G14" i="5" s="1"/>
  <c r="J14" i="5" s="1"/>
  <c r="Q13" i="5"/>
  <c r="T13" i="5" s="1"/>
  <c r="B10" i="4"/>
  <c r="I34" i="2"/>
  <c r="L35" i="3" s="1"/>
  <c r="G19" i="5" s="1"/>
  <c r="J19" i="5" s="1"/>
  <c r="B16" i="4"/>
  <c r="Q14" i="5"/>
  <c r="T14" i="5" s="1"/>
  <c r="B22" i="4"/>
  <c r="Q15" i="5"/>
  <c r="T15" i="5" s="1"/>
  <c r="B34" i="4"/>
  <c r="Q17" i="5"/>
  <c r="T17" i="5" s="1"/>
  <c r="B40" i="4"/>
  <c r="Q18" i="5"/>
  <c r="T18" i="5" s="1"/>
  <c r="B52" i="4"/>
  <c r="C52" i="4" s="1"/>
  <c r="F52" i="4" s="1"/>
  <c r="Q20" i="5"/>
  <c r="T20" i="5" s="1"/>
  <c r="B28" i="4"/>
  <c r="Q16" i="5"/>
  <c r="T16" i="5" s="1"/>
  <c r="B46" i="4"/>
  <c r="C46" i="4" s="1"/>
  <c r="F46" i="4" s="1"/>
  <c r="Q19" i="5"/>
  <c r="T19" i="5" s="1"/>
  <c r="O20" i="3"/>
  <c r="O32" i="3"/>
  <c r="H16" i="5"/>
  <c r="O24" i="3"/>
  <c r="O28" i="3"/>
  <c r="O16" i="3"/>
  <c r="D21" i="5"/>
  <c r="I18" i="2"/>
  <c r="L19" i="3" s="1"/>
  <c r="G15" i="5" s="1"/>
  <c r="J15" i="5" s="1"/>
  <c r="I26" i="2"/>
  <c r="L27" i="3" s="1"/>
  <c r="G17" i="5" s="1"/>
  <c r="J17" i="5" s="1"/>
  <c r="I10" i="2"/>
  <c r="L11" i="3" s="1"/>
  <c r="G13" i="5" s="1"/>
  <c r="J13" i="5" s="1"/>
  <c r="F16" i="5"/>
  <c r="G48" i="1"/>
  <c r="I93" i="1" s="1"/>
  <c r="I30" i="2"/>
  <c r="L31" i="3" s="1"/>
  <c r="G18" i="5" s="1"/>
  <c r="J18" i="5" s="1"/>
  <c r="F18" i="5"/>
  <c r="H43" i="2"/>
  <c r="E21" i="5"/>
  <c r="E92" i="1"/>
  <c r="I92" i="1" s="1"/>
  <c r="C21" i="5"/>
  <c r="I38" i="2"/>
  <c r="L39" i="3" s="1"/>
  <c r="G20" i="5" s="1"/>
  <c r="J20" i="5" s="1"/>
  <c r="F20" i="5"/>
  <c r="H13" i="5"/>
  <c r="I21" i="5"/>
  <c r="F10" i="4" l="1"/>
  <c r="F28" i="4"/>
  <c r="F40" i="4"/>
  <c r="F22" i="4"/>
  <c r="G48" i="4"/>
  <c r="G47" i="4"/>
  <c r="K47" i="4" s="1"/>
  <c r="M47" i="4" s="1"/>
  <c r="G50" i="4"/>
  <c r="K50" i="4" s="1"/>
  <c r="G46" i="4"/>
  <c r="K46" i="4" s="1"/>
  <c r="M46" i="4" s="1"/>
  <c r="G49" i="4"/>
  <c r="K49" i="4" s="1"/>
  <c r="M49" i="4" s="1"/>
  <c r="G54" i="4"/>
  <c r="K54" i="4" s="1"/>
  <c r="M54" i="4" s="1"/>
  <c r="G52" i="4"/>
  <c r="K52" i="4" s="1"/>
  <c r="M52" i="4" s="1"/>
  <c r="G56" i="4"/>
  <c r="K56" i="4" s="1"/>
  <c r="G55" i="4"/>
  <c r="K55" i="4" s="1"/>
  <c r="M55" i="4" s="1"/>
  <c r="G53" i="4"/>
  <c r="K53" i="4" s="1"/>
  <c r="M53" i="4" s="1"/>
  <c r="F34" i="4"/>
  <c r="F16" i="4"/>
  <c r="F21" i="5"/>
  <c r="E93" i="1"/>
  <c r="G21" i="5"/>
  <c r="J21" i="5" s="1"/>
  <c r="K48" i="4"/>
  <c r="M48" i="4" s="1"/>
  <c r="G16" i="4" l="1"/>
  <c r="K16" i="4" s="1"/>
  <c r="V16" i="4" s="1"/>
  <c r="G17" i="4"/>
  <c r="K17" i="4" s="1"/>
  <c r="V17" i="4" s="1"/>
  <c r="G18" i="4"/>
  <c r="K18" i="4" s="1"/>
  <c r="G19" i="4"/>
  <c r="K19" i="4" s="1"/>
  <c r="V19" i="4" s="1"/>
  <c r="G20" i="4"/>
  <c r="K20" i="4" s="1"/>
  <c r="W20" i="4" s="1"/>
  <c r="G24" i="4"/>
  <c r="K24" i="4" s="1"/>
  <c r="W24" i="4" s="1"/>
  <c r="G26" i="4"/>
  <c r="K26" i="4" s="1"/>
  <c r="W26" i="4" s="1"/>
  <c r="G22" i="4"/>
  <c r="K22" i="4" s="1"/>
  <c r="W22" i="4" s="1"/>
  <c r="G23" i="4"/>
  <c r="K23" i="4" s="1"/>
  <c r="V23" i="4" s="1"/>
  <c r="G25" i="4"/>
  <c r="K25" i="4" s="1"/>
  <c r="G36" i="4"/>
  <c r="K36" i="4" s="1"/>
  <c r="W36" i="4" s="1"/>
  <c r="G35" i="4"/>
  <c r="K35" i="4" s="1"/>
  <c r="V35" i="4" s="1"/>
  <c r="G38" i="4"/>
  <c r="K38" i="4" s="1"/>
  <c r="W38" i="4" s="1"/>
  <c r="G34" i="4"/>
  <c r="K34" i="4" s="1"/>
  <c r="V34" i="4" s="1"/>
  <c r="G37" i="4"/>
  <c r="K37" i="4" s="1"/>
  <c r="V37" i="4" s="1"/>
  <c r="G42" i="4"/>
  <c r="K42" i="4" s="1"/>
  <c r="W42" i="4" s="1"/>
  <c r="G40" i="4"/>
  <c r="K40" i="4" s="1"/>
  <c r="W40" i="4" s="1"/>
  <c r="G43" i="4"/>
  <c r="K43" i="4" s="1"/>
  <c r="W43" i="4" s="1"/>
  <c r="G41" i="4"/>
  <c r="K41" i="4" s="1"/>
  <c r="V41" i="4" s="1"/>
  <c r="G44" i="4"/>
  <c r="K44" i="4" s="1"/>
  <c r="V44" i="4" s="1"/>
  <c r="G30" i="4"/>
  <c r="K30" i="4" s="1"/>
  <c r="W30" i="4" s="1"/>
  <c r="G29" i="4"/>
  <c r="K29" i="4" s="1"/>
  <c r="V29" i="4" s="1"/>
  <c r="G28" i="4"/>
  <c r="K28" i="4" s="1"/>
  <c r="G32" i="4"/>
  <c r="K32" i="4" s="1"/>
  <c r="W32" i="4" s="1"/>
  <c r="G31" i="4"/>
  <c r="K31" i="4" s="1"/>
  <c r="V31" i="4" s="1"/>
  <c r="G14" i="4"/>
  <c r="K14" i="4" s="1"/>
  <c r="W14" i="4" s="1"/>
  <c r="G10" i="4"/>
  <c r="K10" i="4" s="1"/>
  <c r="G11" i="4"/>
  <c r="K11" i="4" s="1"/>
  <c r="W11" i="4" s="1"/>
  <c r="G12" i="4"/>
  <c r="K12" i="4" s="1"/>
  <c r="V12" i="4" s="1"/>
  <c r="G13" i="4"/>
  <c r="K13" i="4" s="1"/>
  <c r="V13" i="4" s="1"/>
  <c r="W48" i="4"/>
  <c r="V48" i="4"/>
  <c r="V47" i="4"/>
  <c r="W47" i="4"/>
  <c r="W49" i="4"/>
  <c r="V49" i="4"/>
  <c r="W46" i="4"/>
  <c r="V46" i="4"/>
  <c r="W34" i="4"/>
  <c r="V30" i="4"/>
  <c r="W56" i="4"/>
  <c r="V56" i="4"/>
  <c r="W55" i="4"/>
  <c r="V55" i="4"/>
  <c r="W29" i="4"/>
  <c r="W50" i="4"/>
  <c r="V50" i="4"/>
  <c r="V54" i="4"/>
  <c r="W54" i="4"/>
  <c r="V53" i="4"/>
  <c r="W53" i="4"/>
  <c r="V52" i="4"/>
  <c r="W52" i="4"/>
  <c r="V43" i="4"/>
  <c r="W17" i="4" l="1"/>
  <c r="V24" i="4"/>
  <c r="W31" i="4"/>
  <c r="V20" i="4"/>
  <c r="X20" i="4" s="1"/>
  <c r="Y20" i="4" s="1"/>
  <c r="L20" i="4" s="1"/>
  <c r="W12" i="4"/>
  <c r="X12" i="4" s="1"/>
  <c r="Y12" i="4" s="1"/>
  <c r="L12" i="4" s="1"/>
  <c r="M12" i="4" s="1"/>
  <c r="V38" i="4"/>
  <c r="X38" i="4" s="1"/>
  <c r="Y38" i="4" s="1"/>
  <c r="L38" i="4" s="1"/>
  <c r="V40" i="4"/>
  <c r="X40" i="4" s="1"/>
  <c r="Y40" i="4" s="1"/>
  <c r="L40" i="4" s="1"/>
  <c r="M40" i="4" s="1"/>
  <c r="W28" i="4"/>
  <c r="W23" i="4"/>
  <c r="X23" i="4" s="1"/>
  <c r="Y23" i="4" s="1"/>
  <c r="L23" i="4" s="1"/>
  <c r="M23" i="4" s="1"/>
  <c r="W37" i="4"/>
  <c r="X37" i="4" s="1"/>
  <c r="Y37" i="4" s="1"/>
  <c r="L37" i="4" s="1"/>
  <c r="M37" i="4" s="1"/>
  <c r="W41" i="4"/>
  <c r="X41" i="4" s="1"/>
  <c r="Y41" i="4" s="1"/>
  <c r="L41" i="4" s="1"/>
  <c r="M41" i="4" s="1"/>
  <c r="V18" i="4"/>
  <c r="V36" i="4"/>
  <c r="X36" i="4" s="1"/>
  <c r="Y36" i="4" s="1"/>
  <c r="L36" i="4" s="1"/>
  <c r="M36" i="4" s="1"/>
  <c r="V11" i="4"/>
  <c r="X11" i="4" s="1"/>
  <c r="Y11" i="4" s="1"/>
  <c r="L11" i="4" s="1"/>
  <c r="M11" i="4" s="1"/>
  <c r="W19" i="4"/>
  <c r="X19" i="4" s="1"/>
  <c r="Y19" i="4" s="1"/>
  <c r="L19" i="4" s="1"/>
  <c r="M19" i="4" s="1"/>
  <c r="V42" i="4"/>
  <c r="X42" i="4" s="1"/>
  <c r="Y42" i="4" s="1"/>
  <c r="L42" i="4" s="1"/>
  <c r="M42" i="4" s="1"/>
  <c r="W13" i="4"/>
  <c r="X13" i="4" s="1"/>
  <c r="Y13" i="4" s="1"/>
  <c r="L13" i="4" s="1"/>
  <c r="M13" i="4" s="1"/>
  <c r="V14" i="4"/>
  <c r="X14" i="4" s="1"/>
  <c r="Y14" i="4" s="1"/>
  <c r="L14" i="4" s="1"/>
  <c r="W44" i="4"/>
  <c r="X44" i="4" s="1"/>
  <c r="Y44" i="4" s="1"/>
  <c r="L44" i="4" s="1"/>
  <c r="V32" i="4"/>
  <c r="X32" i="4" s="1"/>
  <c r="Y32" i="4" s="1"/>
  <c r="L32" i="4" s="1"/>
  <c r="W35" i="4"/>
  <c r="X35" i="4" s="1"/>
  <c r="Y35" i="4" s="1"/>
  <c r="L35" i="4" s="1"/>
  <c r="M35" i="4" s="1"/>
  <c r="X24" i="4"/>
  <c r="Y24" i="4" s="1"/>
  <c r="L24" i="4" s="1"/>
  <c r="M24" i="4" s="1"/>
  <c r="V22" i="4"/>
  <c r="X22" i="4" s="1"/>
  <c r="Y22" i="4" s="1"/>
  <c r="L22" i="4" s="1"/>
  <c r="M22" i="4" s="1"/>
  <c r="W16" i="4"/>
  <c r="X16" i="4" s="1"/>
  <c r="Y16" i="4" s="1"/>
  <c r="L16" i="4" s="1"/>
  <c r="M16" i="4" s="1"/>
  <c r="V26" i="4"/>
  <c r="X26" i="4" s="1"/>
  <c r="Y26" i="4" s="1"/>
  <c r="L26" i="4" s="1"/>
  <c r="V10" i="4"/>
  <c r="W10" i="4"/>
  <c r="V28" i="4"/>
  <c r="X28" i="4" s="1"/>
  <c r="Y28" i="4" s="1"/>
  <c r="L28" i="4" s="1"/>
  <c r="M28" i="4" s="1"/>
  <c r="W18" i="4"/>
  <c r="V25" i="4"/>
  <c r="W25" i="4"/>
  <c r="X43" i="4"/>
  <c r="Y43" i="4" s="1"/>
  <c r="L43" i="4" s="1"/>
  <c r="M43" i="4" s="1"/>
  <c r="X29" i="4"/>
  <c r="Y29" i="4" s="1"/>
  <c r="L29" i="4" s="1"/>
  <c r="M29" i="4" s="1"/>
  <c r="X30" i="4"/>
  <c r="Y30" i="4" s="1"/>
  <c r="L30" i="4" s="1"/>
  <c r="M30" i="4" s="1"/>
  <c r="X46" i="4"/>
  <c r="Y46" i="4" s="1"/>
  <c r="L46" i="4" s="1"/>
  <c r="X48" i="4"/>
  <c r="Y48" i="4" s="1"/>
  <c r="L48" i="4" s="1"/>
  <c r="X52" i="4"/>
  <c r="Y52" i="4" s="1"/>
  <c r="L52" i="4" s="1"/>
  <c r="X50" i="4"/>
  <c r="Y50" i="4" s="1"/>
  <c r="L50" i="4" s="1"/>
  <c r="X55" i="4"/>
  <c r="Y55" i="4" s="1"/>
  <c r="L55" i="4" s="1"/>
  <c r="X17" i="4"/>
  <c r="Y17" i="4" s="1"/>
  <c r="L17" i="4" s="1"/>
  <c r="M17" i="4" s="1"/>
  <c r="X56" i="4"/>
  <c r="Y56" i="4" s="1"/>
  <c r="L56" i="4" s="1"/>
  <c r="X49" i="4"/>
  <c r="Y49" i="4" s="1"/>
  <c r="L49" i="4" s="1"/>
  <c r="X47" i="4"/>
  <c r="Y47" i="4" s="1"/>
  <c r="L47" i="4" s="1"/>
  <c r="X34" i="4"/>
  <c r="Y34" i="4" s="1"/>
  <c r="L34" i="4" s="1"/>
  <c r="M34" i="4" s="1"/>
  <c r="X53" i="4"/>
  <c r="Y53" i="4" s="1"/>
  <c r="L53" i="4" s="1"/>
  <c r="X54" i="4"/>
  <c r="Y54" i="4" s="1"/>
  <c r="L54" i="4" s="1"/>
  <c r="X31" i="4"/>
  <c r="Y31" i="4" s="1"/>
  <c r="L31" i="4" s="1"/>
  <c r="M31" i="4" s="1"/>
  <c r="X18" i="4" l="1"/>
  <c r="Y18" i="4" s="1"/>
  <c r="L18" i="4" s="1"/>
  <c r="M18" i="4" s="1"/>
  <c r="X25" i="4"/>
  <c r="Y25" i="4" s="1"/>
  <c r="L25" i="4" s="1"/>
  <c r="M25" i="4" s="1"/>
  <c r="X10" i="4"/>
  <c r="Y10" i="4" s="1"/>
  <c r="L10" i="4" s="1"/>
  <c r="M10" i="4" s="1"/>
</calcChain>
</file>

<file path=xl/sharedStrings.xml><?xml version="1.0" encoding="utf-8"?>
<sst xmlns="http://schemas.openxmlformats.org/spreadsheetml/2006/main" count="369" uniqueCount="174">
  <si>
    <t>Project Name:</t>
    <phoneticPr fontId="0" type="noConversion"/>
  </si>
  <si>
    <t>Example Project</t>
  </si>
  <si>
    <t>Hidden to Right</t>
  </si>
  <si>
    <t xml:space="preserve"> &lt;= Hidden Cells</t>
  </si>
  <si>
    <t>Date Prepared:</t>
    <phoneticPr fontId="0" type="noConversion"/>
  </si>
  <si>
    <t>Prepared by:</t>
    <phoneticPr fontId="0" type="noConversion"/>
  </si>
  <si>
    <t xml:space="preserve"> =&gt; Denotes input by user</t>
  </si>
  <si>
    <t>SOV REQUIRED RAINFALL  =</t>
  </si>
  <si>
    <t>in.</t>
  </si>
  <si>
    <t>TARGET LOADING RATIO =</t>
  </si>
  <si>
    <t xml:space="preserve"> (See Ch. 5 for details)</t>
  </si>
  <si>
    <t>Concept Design</t>
  </si>
  <si>
    <t>(A)</t>
  </si>
  <si>
    <r>
      <t>ft.</t>
    </r>
    <r>
      <rPr>
        <vertAlign val="superscript"/>
        <sz val="11"/>
        <rFont val="Century Gothic"/>
        <family val="2"/>
      </rPr>
      <t>2</t>
    </r>
    <r>
      <rPr>
        <sz val="11"/>
        <rFont val="Century Gothic"/>
        <family val="2"/>
      </rPr>
      <t xml:space="preserve">         or</t>
    </r>
  </si>
  <si>
    <t>Total Proposed Impervious Area =</t>
  </si>
  <si>
    <t>Protected Areas</t>
  </si>
  <si>
    <t>5.2.1</t>
  </si>
  <si>
    <t>Area of Protected Undisturbed and Healthy Soils</t>
  </si>
  <si>
    <t>Design Rainfall</t>
  </si>
  <si>
    <t>Target loading ratio</t>
  </si>
  <si>
    <t>5.2.1.1</t>
  </si>
  <si>
    <t>Area of Minimized Land Disturbance</t>
  </si>
  <si>
    <t>5.2.1.2</t>
  </si>
  <si>
    <t>Area of Protected Soils/Steep Slopes</t>
  </si>
  <si>
    <t>5.2.2</t>
  </si>
  <si>
    <t>Area of Protected Natural Flow Paths</t>
  </si>
  <si>
    <t>5.2.3</t>
  </si>
  <si>
    <t>Area of Protected/Enhanced Riparian Corridors</t>
  </si>
  <si>
    <t>5.2.4</t>
  </si>
  <si>
    <t>Area of Protected/Preserved Vegetation</t>
  </si>
  <si>
    <t>Total Protected Area</t>
  </si>
  <si>
    <t xml:space="preserve">Concept Level BMP Area </t>
  </si>
  <si>
    <t>(Based on Proposed Impervious Area)</t>
  </si>
  <si>
    <t>Impervious Area Requiring Stormwater Management =</t>
  </si>
  <si>
    <r>
      <t>ft</t>
    </r>
    <r>
      <rPr>
        <vertAlign val="superscript"/>
        <sz val="11"/>
        <rFont val="Century Gothic"/>
        <family val="2"/>
      </rPr>
      <t>2</t>
    </r>
  </si>
  <si>
    <t xml:space="preserve"> =</t>
  </si>
  <si>
    <t>ac</t>
  </si>
  <si>
    <t>Runoff Coefficients, Rv for Design Rainfall</t>
  </si>
  <si>
    <t>Restorative Credits</t>
  </si>
  <si>
    <t>Land Use Type</t>
    <phoneticPr fontId="0" type="noConversion"/>
  </si>
  <si>
    <t>Surface Condition</t>
  </si>
  <si>
    <t>Recreate Natural Flow Path</t>
  </si>
  <si>
    <t xml:space="preserve"> -</t>
  </si>
  <si>
    <t xml:space="preserve"> - </t>
  </si>
  <si>
    <t>Naturalize Swales and Drainage Ditches</t>
  </si>
  <si>
    <t>Clayey Soils</t>
  </si>
  <si>
    <t>Pervious</t>
  </si>
  <si>
    <t>Enhance Native cover Types</t>
  </si>
  <si>
    <t>Flat Roof</t>
  </si>
  <si>
    <t>Impervious</t>
  </si>
  <si>
    <t>Change Cover Type to Meadow</t>
  </si>
  <si>
    <t>Large Impervious</t>
  </si>
  <si>
    <t>Change Cover Type to Forest</t>
  </si>
  <si>
    <t>Pitched Roof</t>
  </si>
  <si>
    <t>Amend and Restore Disturbed Soils</t>
  </si>
  <si>
    <t>Sandy Soils</t>
  </si>
  <si>
    <t>Tree Planting - Deciduous</t>
  </si>
  <si>
    <t>Small Impervious</t>
  </si>
  <si>
    <t>Tree Planting - Evergreen</t>
  </si>
  <si>
    <t>Typical Urban Soils</t>
  </si>
  <si>
    <t>None</t>
  </si>
  <si>
    <t xml:space="preserve"> - Large impervious includes parking lots with curbs, roads with curbs, highways, etc.</t>
  </si>
  <si>
    <t xml:space="preserve"> - Small impervious includes roads without curbs, small parking lots without curbs, and sidewalks.</t>
  </si>
  <si>
    <t xml:space="preserve"> - Small Storm Hydrology Method actually has a Rv for pervious areas, but TN State requirements do not require it.</t>
  </si>
  <si>
    <t xml:space="preserve"> - Pervious and impervious areas required to produce adjusted CN on Worksheet # 4.</t>
  </si>
  <si>
    <t>Preliminary Design</t>
  </si>
  <si>
    <t>INITIAL TARGET BMP AREA =</t>
  </si>
  <si>
    <r>
      <t>ft</t>
    </r>
    <r>
      <rPr>
        <b/>
        <vertAlign val="superscript"/>
        <sz val="11"/>
        <rFont val="Century Gothic"/>
        <family val="2"/>
      </rPr>
      <t>2</t>
    </r>
  </si>
  <si>
    <t>Sub-Drainage ID per BMP</t>
  </si>
  <si>
    <t>Land Use Type</t>
  </si>
  <si>
    <t>Disturbed Land Area</t>
  </si>
  <si>
    <t xml:space="preserve">Rv Value, from Table </t>
  </si>
  <si>
    <t xml:space="preserve">Stay on Volume </t>
    <phoneticPr fontId="0" type="noConversion"/>
  </si>
  <si>
    <t>(numbers and lowercase letters only)</t>
  </si>
  <si>
    <r>
      <t>(ft</t>
    </r>
    <r>
      <rPr>
        <vertAlign val="superscript"/>
        <sz val="11"/>
        <rFont val="Century Gothic"/>
        <family val="2"/>
      </rPr>
      <t>2</t>
    </r>
    <r>
      <rPr>
        <sz val="11"/>
        <rFont val="Century Gothic"/>
        <family val="2"/>
      </rPr>
      <t>)</t>
    </r>
  </si>
  <si>
    <t>(ac)</t>
  </si>
  <si>
    <r>
      <t>(ft</t>
    </r>
    <r>
      <rPr>
        <vertAlign val="superscript"/>
        <sz val="11"/>
        <rFont val="Century Gothic"/>
        <family val="2"/>
      </rPr>
      <t>3</t>
    </r>
    <r>
      <rPr>
        <sz val="11"/>
        <rFont val="Century Gothic"/>
        <family val="2"/>
      </rPr>
      <t>)</t>
    </r>
  </si>
  <si>
    <t>Drainage area</t>
  </si>
  <si>
    <t>Documented Disturbed Land Areas (from above) =</t>
  </si>
  <si>
    <t>(B)</t>
  </si>
  <si>
    <t>Total SOV Capture Volume =</t>
  </si>
  <si>
    <r>
      <t>ft</t>
    </r>
    <r>
      <rPr>
        <vertAlign val="superscript"/>
        <sz val="11"/>
        <rFont val="Century Gothic"/>
        <family val="2"/>
      </rPr>
      <t>3</t>
    </r>
  </si>
  <si>
    <t xml:space="preserve"> *Lines (A) and (B) should equal if all Disturbed Land Areas have been entered correctly*</t>
  </si>
  <si>
    <t>WORKSHEET 2:  Restorative Credits</t>
  </si>
  <si>
    <t>Restorative Volume Credit Worksheet</t>
  </si>
  <si>
    <t>Sub-Drainage ID</t>
  </si>
  <si>
    <t>Sub-Drainage SOV</t>
  </si>
  <si>
    <t>Restorative Practice Credit Type</t>
  </si>
  <si>
    <t>Area</t>
  </si>
  <si>
    <t># of Trees</t>
  </si>
  <si>
    <t>Volume Credit</t>
  </si>
  <si>
    <t>Total Volume Credit (limit to maximum of 25% of SOV)</t>
  </si>
  <si>
    <t>Net Drainage Area SOV</t>
  </si>
  <si>
    <r>
      <t xml:space="preserve"> (ft</t>
    </r>
    <r>
      <rPr>
        <vertAlign val="superscript"/>
        <sz val="11"/>
        <rFont val="Century Gothic"/>
        <family val="2"/>
      </rPr>
      <t>3</t>
    </r>
    <r>
      <rPr>
        <sz val="11"/>
        <rFont val="Century Gothic"/>
        <family val="2"/>
      </rPr>
      <t>)</t>
    </r>
  </si>
  <si>
    <r>
      <t xml:space="preserve"> (ft</t>
    </r>
    <r>
      <rPr>
        <vertAlign val="superscript"/>
        <sz val="11"/>
        <rFont val="Century Gothic"/>
        <family val="2"/>
      </rPr>
      <t>2</t>
    </r>
    <r>
      <rPr>
        <sz val="11"/>
        <rFont val="Century Gothic"/>
        <family val="2"/>
      </rPr>
      <t>)</t>
    </r>
  </si>
  <si>
    <t>Total Volume Credit =</t>
  </si>
  <si>
    <t>BMP Type</t>
  </si>
  <si>
    <t>Infiltration Rate</t>
  </si>
  <si>
    <t>Runoff Storage Type</t>
  </si>
  <si>
    <t xml:space="preserve"> Mid-height Area</t>
  </si>
  <si>
    <t>Depth of Storage</t>
  </si>
  <si>
    <t>Storage Capacity</t>
  </si>
  <si>
    <t>Storage Volume</t>
  </si>
  <si>
    <t>BMP Surface Area</t>
  </si>
  <si>
    <t>BMP Capture Volume</t>
  </si>
  <si>
    <t>Loading Ratio</t>
  </si>
  <si>
    <t>NONE</t>
  </si>
  <si>
    <t>(in./hr)</t>
  </si>
  <si>
    <t xml:space="preserve"> (ft)</t>
  </si>
  <si>
    <t>(%)</t>
  </si>
  <si>
    <t>(hrs)</t>
  </si>
  <si>
    <t>Bioretention</t>
  </si>
  <si>
    <t>Infiltration Bed</t>
  </si>
  <si>
    <t>Surface</t>
  </si>
  <si>
    <t>Soil</t>
  </si>
  <si>
    <t>Infiltration Trench</t>
  </si>
  <si>
    <t>Stone</t>
  </si>
  <si>
    <t>Naturalized Basin</t>
  </si>
  <si>
    <t>Pervious Pavement</t>
  </si>
  <si>
    <t>Stormwater Planter Box</t>
  </si>
  <si>
    <t>Self-Managing Pervious Pavement</t>
  </si>
  <si>
    <t>Total Capture Volume  =</t>
  </si>
  <si>
    <t>WORKSHEET 4: CN Adjustment</t>
  </si>
  <si>
    <t xml:space="preserve"> &lt;=  Hidden Cells</t>
  </si>
  <si>
    <t>a</t>
  </si>
  <si>
    <t>b</t>
  </si>
  <si>
    <t>c</t>
  </si>
  <si>
    <t>s</t>
  </si>
  <si>
    <t>CN</t>
  </si>
  <si>
    <t>Outfall #</t>
  </si>
  <si>
    <t>Disturbed Area</t>
  </si>
  <si>
    <t>Storm Frequency</t>
  </si>
  <si>
    <t>Rainfall</t>
  </si>
  <si>
    <t>S</t>
  </si>
  <si>
    <t>Q</t>
  </si>
  <si>
    <t>Infiltration Volume      (12 hrs)</t>
  </si>
  <si>
    <t>Total BMP Volume Reduction</t>
  </si>
  <si>
    <t>Q minus Total Volume Reduction</t>
  </si>
  <si>
    <t>Adjusted CN</t>
  </si>
  <si>
    <t>Enter
 new S</t>
  </si>
  <si>
    <t>Does this equal Q-R?</t>
    <phoneticPr fontId="6" type="noConversion"/>
  </si>
  <si>
    <t xml:space="preserve"> (in)</t>
  </si>
  <si>
    <t>(in)</t>
  </si>
  <si>
    <t>Total Disturbed Area</t>
  </si>
  <si>
    <t>Total Disturbed Impervious Area</t>
  </si>
  <si>
    <t>Net Sub-Drainage Area SOV</t>
  </si>
  <si>
    <t>Capture &gt; SOV?</t>
  </si>
  <si>
    <t>Totals</t>
  </si>
  <si>
    <t>WORKSHEET 3: SCM SIZING</t>
  </si>
  <si>
    <t>WORKSHEET 1:  SOV and SCM AREA</t>
  </si>
  <si>
    <t>I. B. A'Designer</t>
  </si>
  <si>
    <t>Total Parcel Area =</t>
  </si>
  <si>
    <t>Total Disturbed Pervious Area</t>
  </si>
  <si>
    <t>Required Min. Sub-Drainage Area SOV</t>
  </si>
  <si>
    <t>Restorative Volume Credit</t>
  </si>
  <si>
    <t>BMP Capture Volume (Designed)</t>
  </si>
  <si>
    <t>SUMMARY TABLE</t>
  </si>
  <si>
    <t>Impervious % =</t>
  </si>
  <si>
    <t>Pervious % =</t>
  </si>
  <si>
    <t xml:space="preserve">Existing, Predeveloped CN= </t>
  </si>
  <si>
    <t>Area #</t>
  </si>
  <si>
    <t>12 Hr. Infil. (cf)</t>
  </si>
  <si>
    <t>Approx. Adjusted CN</t>
  </si>
  <si>
    <r>
      <t xml:space="preserve"> </t>
    </r>
    <r>
      <rPr>
        <b/>
        <u/>
        <sz val="11"/>
        <rFont val="Century Gothic"/>
        <family val="2"/>
      </rPr>
      <t>Note</t>
    </r>
    <r>
      <rPr>
        <b/>
        <sz val="11"/>
        <rFont val="Century Gothic"/>
        <family val="2"/>
      </rPr>
      <t xml:space="preserve">:  Worksheet 1 must be completed for </t>
    </r>
    <r>
      <rPr>
        <b/>
        <u/>
        <sz val="11"/>
        <rFont val="Century Gothic"/>
        <family val="2"/>
      </rPr>
      <t>all</t>
    </r>
    <r>
      <rPr>
        <b/>
        <sz val="11"/>
        <rFont val="Century Gothic"/>
        <family val="2"/>
      </rPr>
      <t xml:space="preserve"> projects </t>
    </r>
  </si>
  <si>
    <r>
      <rPr>
        <b/>
        <u/>
        <sz val="11"/>
        <rFont val="Century Gothic"/>
        <family val="2"/>
      </rPr>
      <t>Note</t>
    </r>
    <r>
      <rPr>
        <b/>
        <sz val="11"/>
        <rFont val="Century Gothic"/>
        <family val="2"/>
      </rPr>
      <t>:  Worksheet 3 shall apply to all green infrastructure and modified green infrastructure</t>
    </r>
  </si>
  <si>
    <t xml:space="preserve"> disturbing one acre or more &amp; outside of the CSS area.</t>
  </si>
  <si>
    <t>Weighted, Developed CN</t>
  </si>
  <si>
    <r>
      <t xml:space="preserve">   </t>
    </r>
    <r>
      <rPr>
        <b/>
        <u/>
        <sz val="11"/>
        <rFont val="Century Gothic"/>
        <family val="2"/>
      </rPr>
      <t>NOTE</t>
    </r>
    <r>
      <rPr>
        <b/>
        <sz val="11"/>
        <rFont val="Century Gothic"/>
        <family val="2"/>
      </rPr>
      <t xml:space="preserve">: Worksheet 4, CN adjustment, is valid </t>
    </r>
    <r>
      <rPr>
        <b/>
        <u/>
        <sz val="11"/>
        <rFont val="Century Gothic"/>
        <family val="2"/>
      </rPr>
      <t>only</t>
    </r>
    <r>
      <rPr>
        <b/>
        <sz val="11"/>
        <rFont val="Century Gothic"/>
        <family val="2"/>
      </rPr>
      <t xml:space="preserve"> for green infrastructure measures, and </t>
    </r>
    <r>
      <rPr>
        <b/>
        <u/>
        <sz val="11"/>
        <rFont val="Century Gothic"/>
        <family val="2"/>
      </rPr>
      <t>not</t>
    </r>
    <r>
      <rPr>
        <b/>
        <sz val="11"/>
        <rFont val="Century Gothic"/>
        <family val="2"/>
      </rPr>
      <t xml:space="preserve">  </t>
    </r>
  </si>
  <si>
    <t xml:space="preserve">   for modified green infrastructure, proprietary, man-made devices, or extended detention.</t>
  </si>
  <si>
    <t>Infiltration Drawdown Time</t>
  </si>
  <si>
    <t xml:space="preserve">projects.  However, the infiltration drawdown time for modified green infrastructure does not apply.   </t>
  </si>
  <si>
    <t>Enhance Native Cover Types</t>
  </si>
  <si>
    <t>shall comply with the "Target Loading Ratio" shown on Worksheet 1.</t>
  </si>
  <si>
    <r>
      <rPr>
        <b/>
        <u/>
        <sz val="11"/>
        <color theme="1"/>
        <rFont val="Century Gothic"/>
        <family val="2"/>
      </rPr>
      <t>Note</t>
    </r>
    <r>
      <rPr>
        <b/>
        <sz val="11"/>
        <color theme="1"/>
        <rFont val="Century Gothic"/>
        <family val="2"/>
      </rPr>
      <t>:  For SOV, the "Infiltration Drawdown Time" must be 72 hours or less, and the "Loading Ratio"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</si>
</sst>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\ &quot;ac&quot;"/>
    <numFmt numFmtId="165" formatCode="0.0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name val="Century Gothic"/>
      <family val="2"/>
    </font>
    <font>
      <sz val="11"/>
      <name val="Calibri"/>
      <family val="2"/>
    </font>
    <font>
      <sz val="10"/>
      <name val="Century Gothic"/>
      <family val="2"/>
    </font>
    <font>
      <b/>
      <u/>
      <sz val="20"/>
      <name val="Century Gothic"/>
      <family val="2"/>
    </font>
    <font>
      <vertAlign val="superscript"/>
      <sz val="11"/>
      <name val="Century Gothic"/>
      <family val="2"/>
    </font>
    <font>
      <u/>
      <sz val="11"/>
      <name val="Century Gothic"/>
      <family val="2"/>
    </font>
    <font>
      <b/>
      <vertAlign val="superscript"/>
      <sz val="1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u/>
      <sz val="11"/>
      <name val="Century Gothic"/>
      <family val="2"/>
    </font>
    <font>
      <sz val="11"/>
      <color rgb="FFFF0000"/>
      <name val="Century Gothic"/>
      <family val="2"/>
    </font>
    <font>
      <sz val="10"/>
      <color rgb="FFFF0000"/>
      <name val="Century Gothic"/>
      <family val="2"/>
    </font>
    <font>
      <b/>
      <sz val="11"/>
      <color rgb="FFFF0000"/>
      <name val="Century Gothic"/>
      <family val="2"/>
    </font>
    <font>
      <i/>
      <sz val="10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</cellStyleXfs>
  <cellXfs count="404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3" fillId="0" borderId="0" xfId="2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5" fontId="2" fillId="0" borderId="0" xfId="0" applyNumberFormat="1" applyFont="1" applyAlignment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right"/>
    </xf>
    <xf numFmtId="3" fontId="2" fillId="0" borderId="7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wrapText="1"/>
    </xf>
    <xf numFmtId="3" fontId="2" fillId="0" borderId="0" xfId="0" applyNumberFormat="1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165" fontId="2" fillId="0" borderId="0" xfId="0" applyNumberFormat="1" applyFont="1" applyAlignment="1" applyProtection="1">
      <alignment wrapText="1"/>
    </xf>
    <xf numFmtId="0" fontId="2" fillId="3" borderId="0" xfId="0" applyFont="1" applyFill="1" applyAlignment="1" applyProtection="1">
      <alignment horizontal="right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 vertical="center"/>
    </xf>
    <xf numFmtId="3" fontId="2" fillId="0" borderId="0" xfId="0" applyNumberFormat="1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3" fontId="2" fillId="3" borderId="0" xfId="0" applyNumberFormat="1" applyFont="1" applyFill="1" applyAlignment="1" applyProtection="1">
      <alignment horizontal="right"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0" fontId="2" fillId="0" borderId="9" xfId="0" applyFont="1" applyBorder="1" applyProtection="1"/>
    <xf numFmtId="0" fontId="3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2" fontId="2" fillId="0" borderId="12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2" fontId="3" fillId="0" borderId="14" xfId="0" applyNumberFormat="1" applyFont="1" applyBorder="1" applyAlignment="1" applyProtection="1">
      <alignment horizontal="center" vertical="center" wrapText="1"/>
    </xf>
    <xf numFmtId="165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2" fontId="3" fillId="0" borderId="16" xfId="0" applyNumberFormat="1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</xf>
    <xf numFmtId="2" fontId="2" fillId="0" borderId="18" xfId="0" applyNumberFormat="1" applyFont="1" applyBorder="1" applyAlignment="1" applyProtection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2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21" xfId="0" applyFont="1" applyBorder="1" applyAlignment="1" applyProtection="1">
      <alignment horizontal="left" vertical="center" wrapText="1"/>
    </xf>
    <xf numFmtId="2" fontId="2" fillId="0" borderId="22" xfId="0" applyNumberFormat="1" applyFont="1" applyBorder="1" applyAlignment="1" applyProtection="1">
      <alignment horizontal="center" vertical="center"/>
    </xf>
    <xf numFmtId="2" fontId="2" fillId="3" borderId="23" xfId="0" applyNumberFormat="1" applyFont="1" applyFill="1" applyBorder="1" applyAlignment="1" applyProtection="1">
      <alignment horizontal="center" vertical="center"/>
    </xf>
    <xf numFmtId="3" fontId="6" fillId="0" borderId="0" xfId="2" applyNumberFormat="1" applyFont="1" applyFill="1" applyAlignment="1" applyProtection="1">
      <alignment vertical="center"/>
    </xf>
    <xf numFmtId="3" fontId="2" fillId="0" borderId="0" xfId="2" applyNumberFormat="1" applyFont="1" applyFill="1" applyAlignment="1" applyProtection="1">
      <alignment vertical="center" wrapText="1"/>
    </xf>
    <xf numFmtId="0" fontId="7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3" fontId="3" fillId="0" borderId="4" xfId="0" applyNumberFormat="1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3" fontId="3" fillId="0" borderId="25" xfId="0" applyNumberFormat="1" applyFont="1" applyBorder="1" applyAlignment="1" applyProtection="1">
      <alignment horizontal="center" vertical="center" wrapText="1"/>
    </xf>
    <xf numFmtId="3" fontId="3" fillId="0" borderId="26" xfId="0" applyNumberFormat="1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3" fontId="2" fillId="0" borderId="28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3" fontId="2" fillId="0" borderId="29" xfId="0" applyNumberFormat="1" applyFont="1" applyBorder="1" applyAlignment="1" applyProtection="1">
      <alignment horizontal="center" vertical="center"/>
    </xf>
    <xf numFmtId="3" fontId="2" fillId="0" borderId="31" xfId="0" applyNumberFormat="1" applyFont="1" applyBorder="1" applyAlignment="1" applyProtection="1">
      <alignment horizontal="center" vertical="center"/>
    </xf>
    <xf numFmtId="4" fontId="2" fillId="0" borderId="31" xfId="0" applyNumberFormat="1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/>
    </xf>
    <xf numFmtId="3" fontId="2" fillId="0" borderId="32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4" xfId="0" applyNumberFormat="1" applyFont="1" applyBorder="1" applyAlignment="1" applyProtection="1">
      <alignment horizontal="center" vertical="center"/>
    </xf>
    <xf numFmtId="3" fontId="2" fillId="0" borderId="36" xfId="0" applyNumberFormat="1" applyFont="1" applyBorder="1" applyAlignment="1" applyProtection="1">
      <alignment horizontal="center" vertical="center"/>
    </xf>
    <xf numFmtId="4" fontId="2" fillId="0" borderId="36" xfId="0" applyNumberFormat="1" applyFont="1" applyBorder="1" applyAlignment="1" applyProtection="1">
      <alignment horizontal="center" vertical="center"/>
    </xf>
    <xf numFmtId="3" fontId="2" fillId="0" borderId="37" xfId="0" applyNumberFormat="1" applyFont="1" applyBorder="1" applyAlignment="1" applyProtection="1">
      <alignment horizontal="center" vertical="center"/>
    </xf>
    <xf numFmtId="0" fontId="2" fillId="0" borderId="8" xfId="0" applyFont="1" applyBorder="1" applyProtection="1"/>
    <xf numFmtId="0" fontId="3" fillId="0" borderId="10" xfId="0" applyFont="1" applyFill="1" applyBorder="1" applyAlignment="1" applyProtection="1">
      <alignment horizontal="center"/>
    </xf>
    <xf numFmtId="0" fontId="2" fillId="0" borderId="17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2" fontId="2" fillId="0" borderId="6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/>
    </xf>
    <xf numFmtId="2" fontId="2" fillId="0" borderId="12" xfId="0" applyNumberFormat="1" applyFont="1" applyBorder="1" applyAlignment="1" applyProtection="1">
      <alignment horizontal="right"/>
    </xf>
    <xf numFmtId="0" fontId="2" fillId="0" borderId="39" xfId="0" applyFont="1" applyBorder="1" applyAlignment="1" applyProtection="1"/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3" fontId="2" fillId="2" borderId="40" xfId="0" applyNumberFormat="1" applyFont="1" applyFill="1" applyBorder="1" applyAlignment="1" applyProtection="1">
      <alignment horizontal="center" vertical="center"/>
      <protection locked="0"/>
    </xf>
    <xf numFmtId="3" fontId="2" fillId="2" borderId="31" xfId="2" applyNumberFormat="1" applyFont="1" applyFill="1" applyBorder="1" applyAlignment="1" applyProtection="1">
      <alignment horizontal="center" vertical="center"/>
      <protection locked="0"/>
    </xf>
    <xf numFmtId="3" fontId="2" fillId="2" borderId="31" xfId="0" applyNumberFormat="1" applyFont="1" applyFill="1" applyBorder="1" applyAlignment="1" applyProtection="1">
      <alignment horizontal="center" vertical="center"/>
      <protection locked="0"/>
    </xf>
    <xf numFmtId="3" fontId="2" fillId="0" borderId="31" xfId="0" applyNumberFormat="1" applyFont="1" applyBorder="1" applyAlignment="1" applyProtection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 applyProtection="1">
      <alignment horizontal="center" vertical="center"/>
      <protection locked="0"/>
    </xf>
    <xf numFmtId="3" fontId="2" fillId="0" borderId="42" xfId="0" applyNumberFormat="1" applyFont="1" applyBorder="1" applyAlignment="1" applyProtection="1">
      <alignment horizontal="center"/>
    </xf>
    <xf numFmtId="3" fontId="2" fillId="0" borderId="42" xfId="1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3" fontId="2" fillId="4" borderId="4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14" fillId="0" borderId="0" xfId="0" applyFont="1"/>
    <xf numFmtId="0" fontId="3" fillId="0" borderId="0" xfId="0" applyFont="1" applyAlignment="1">
      <alignment wrapText="1"/>
    </xf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2" fillId="0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2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9" fontId="2" fillId="0" borderId="31" xfId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9" fontId="2" fillId="0" borderId="2" xfId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9" fontId="2" fillId="0" borderId="42" xfId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0" xfId="0" applyFont="1" applyAlignment="1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" fontId="2" fillId="0" borderId="0" xfId="0" applyNumberFormat="1" applyFont="1"/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Protection="1"/>
    <xf numFmtId="1" fontId="2" fillId="0" borderId="0" xfId="0" applyNumberFormat="1" applyFont="1" applyAlignment="1" applyProtection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25" xfId="0" applyFont="1" applyFill="1" applyBorder="1" applyAlignment="1" applyProtection="1">
      <alignment horizontal="center" vertical="center" wrapText="1"/>
    </xf>
    <xf numFmtId="1" fontId="3" fillId="0" borderId="25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" fontId="3" fillId="0" borderId="28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4" fontId="2" fillId="0" borderId="31" xfId="0" applyNumberFormat="1" applyFont="1" applyFill="1" applyBorder="1" applyAlignment="1" applyProtection="1">
      <alignment horizontal="center" vertical="center"/>
    </xf>
    <xf numFmtId="1" fontId="2" fillId="0" borderId="32" xfId="0" applyNumberFormat="1" applyFont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3" fontId="2" fillId="0" borderId="40" xfId="0" applyNumberFormat="1" applyFont="1" applyFill="1" applyBorder="1" applyAlignment="1" applyProtection="1">
      <alignment horizontal="center" vertical="center"/>
    </xf>
    <xf numFmtId="1" fontId="2" fillId="0" borderId="40" xfId="0" applyNumberFormat="1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4" fontId="2" fillId="0" borderId="40" xfId="0" applyNumberFormat="1" applyFont="1" applyFill="1" applyBorder="1" applyAlignment="1" applyProtection="1">
      <alignment horizontal="center" vertical="center"/>
    </xf>
    <xf numFmtId="1" fontId="2" fillId="0" borderId="34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3" fontId="2" fillId="0" borderId="42" xfId="0" applyNumberFormat="1" applyFont="1" applyBorder="1" applyAlignment="1" applyProtection="1">
      <alignment horizontal="center" vertical="center"/>
    </xf>
    <xf numFmtId="1" fontId="2" fillId="0" borderId="42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4" fontId="2" fillId="0" borderId="42" xfId="0" applyNumberFormat="1" applyFont="1" applyFill="1" applyBorder="1" applyAlignment="1" applyProtection="1">
      <alignment horizontal="center" vertical="center"/>
    </xf>
    <xf numFmtId="4" fontId="2" fillId="0" borderId="42" xfId="0" applyNumberFormat="1" applyFont="1" applyBorder="1" applyAlignment="1" applyProtection="1">
      <alignment horizontal="center" vertical="center"/>
    </xf>
    <xf numFmtId="1" fontId="2" fillId="0" borderId="51" xfId="0" applyNumberFormat="1" applyFont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center" vertical="center"/>
    </xf>
    <xf numFmtId="1" fontId="2" fillId="5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3" fontId="3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vertical="center" wrapText="1"/>
    </xf>
    <xf numFmtId="3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 applyProtection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56" xfId="0" applyNumberFormat="1" applyFont="1" applyBorder="1" applyAlignment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Alignment="1">
      <alignment horizontal="right"/>
    </xf>
    <xf numFmtId="3" fontId="2" fillId="6" borderId="42" xfId="0" applyNumberFormat="1" applyFont="1" applyFill="1" applyBorder="1" applyAlignment="1" applyProtection="1">
      <alignment horizontal="center" vertical="center"/>
    </xf>
    <xf numFmtId="3" fontId="2" fillId="7" borderId="42" xfId="0" applyNumberFormat="1" applyFont="1" applyFill="1" applyBorder="1" applyAlignment="1" applyProtection="1">
      <alignment horizontal="center" vertical="center"/>
    </xf>
    <xf numFmtId="3" fontId="2" fillId="8" borderId="42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3" borderId="0" xfId="0" applyFont="1" applyFill="1" applyBorder="1" applyAlignment="1"/>
    <xf numFmtId="0" fontId="2" fillId="3" borderId="0" xfId="0" applyFont="1" applyFill="1" applyBorder="1" applyAlignment="1"/>
    <xf numFmtId="0" fontId="3" fillId="0" borderId="0" xfId="0" applyFont="1" applyBorder="1" applyAlignment="1">
      <alignment wrapText="1"/>
    </xf>
    <xf numFmtId="1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right" vertical="center"/>
      <protection locked="0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0" fontId="2" fillId="2" borderId="30" xfId="3" applyFont="1" applyFill="1" applyBorder="1" applyAlignment="1" applyProtection="1">
      <alignment horizontal="center" vertical="center"/>
      <protection locked="0"/>
    </xf>
    <xf numFmtId="0" fontId="2" fillId="2" borderId="33" xfId="3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3" fontId="2" fillId="2" borderId="31" xfId="3" applyNumberFormat="1" applyFont="1" applyFill="1" applyBorder="1" applyAlignment="1" applyProtection="1">
      <alignment horizontal="center" vertical="center"/>
      <protection locked="0"/>
    </xf>
    <xf numFmtId="3" fontId="2" fillId="2" borderId="2" xfId="3" applyNumberFormat="1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3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/>
    </xf>
    <xf numFmtId="3" fontId="2" fillId="3" borderId="31" xfId="0" applyNumberFormat="1" applyFont="1" applyFill="1" applyBorder="1" applyAlignment="1" applyProtection="1">
      <alignment horizontal="center" vertical="center"/>
    </xf>
    <xf numFmtId="0" fontId="2" fillId="5" borderId="43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</xf>
    <xf numFmtId="2" fontId="2" fillId="0" borderId="0" xfId="0" applyNumberFormat="1" applyFont="1" applyBorder="1" applyAlignment="1" applyProtection="1">
      <alignment horizontal="center"/>
    </xf>
    <xf numFmtId="2" fontId="2" fillId="0" borderId="31" xfId="0" applyNumberFormat="1" applyFont="1" applyBorder="1" applyAlignment="1" applyProtection="1">
      <alignment horizontal="center" vertical="center"/>
    </xf>
    <xf numFmtId="165" fontId="2" fillId="0" borderId="32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2" fontId="2" fillId="0" borderId="40" xfId="0" applyNumberFormat="1" applyFont="1" applyBorder="1" applyAlignment="1" applyProtection="1">
      <alignment horizontal="center" vertical="center"/>
    </xf>
    <xf numFmtId="165" fontId="2" fillId="0" borderId="54" xfId="0" applyNumberFormat="1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</xf>
    <xf numFmtId="165" fontId="2" fillId="0" borderId="34" xfId="0" applyNumberFormat="1" applyFont="1" applyBorder="1" applyAlignment="1" applyProtection="1">
      <alignment horizontal="center" vertical="center"/>
    </xf>
    <xf numFmtId="2" fontId="2" fillId="0" borderId="42" xfId="0" applyNumberFormat="1" applyFont="1" applyBorder="1" applyAlignment="1" applyProtection="1">
      <alignment horizontal="center" vertical="center"/>
    </xf>
    <xf numFmtId="165" fontId="2" fillId="0" borderId="51" xfId="0" applyNumberFormat="1" applyFont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</xf>
    <xf numFmtId="1" fontId="3" fillId="5" borderId="0" xfId="0" applyNumberFormat="1" applyFont="1" applyFill="1" applyBorder="1" applyAlignment="1" applyProtection="1">
      <alignment horizontal="center" vertical="center"/>
    </xf>
    <xf numFmtId="1" fontId="2" fillId="5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1" fontId="2" fillId="5" borderId="9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4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 wrapText="1"/>
    </xf>
    <xf numFmtId="0" fontId="3" fillId="0" borderId="6" xfId="0" applyFont="1" applyBorder="1" applyAlignment="1" applyProtection="1">
      <alignment horizontal="right" wrapText="1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8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3" fillId="3" borderId="13" xfId="0" applyFont="1" applyFill="1" applyBorder="1" applyAlignment="1"/>
    <xf numFmtId="3" fontId="2" fillId="3" borderId="25" xfId="0" applyNumberFormat="1" applyFont="1" applyFill="1" applyBorder="1" applyAlignment="1" applyProtection="1">
      <alignment horizontal="center" vertical="center"/>
    </xf>
    <xf numFmtId="3" fontId="2" fillId="3" borderId="53" xfId="0" applyNumberFormat="1" applyFont="1" applyFill="1" applyBorder="1" applyAlignment="1" applyProtection="1">
      <alignment horizontal="center" vertical="center"/>
    </xf>
    <xf numFmtId="3" fontId="2" fillId="3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Border="1" applyAlignment="1" applyProtection="1">
      <alignment horizontal="center" vertical="center"/>
    </xf>
    <xf numFmtId="3" fontId="2" fillId="0" borderId="53" xfId="0" applyNumberFormat="1" applyFont="1" applyBorder="1" applyAlignment="1" applyProtection="1">
      <alignment horizontal="center" vertical="center"/>
    </xf>
    <xf numFmtId="3" fontId="2" fillId="0" borderId="28" xfId="0" applyNumberFormat="1" applyFont="1" applyBorder="1" applyAlignment="1" applyProtection="1">
      <alignment horizontal="center" vertical="center"/>
    </xf>
    <xf numFmtId="2" fontId="2" fillId="0" borderId="25" xfId="1" applyNumberFormat="1" applyFont="1" applyBorder="1" applyAlignment="1" applyProtection="1">
      <alignment horizontal="center" vertical="center"/>
    </xf>
    <xf numFmtId="2" fontId="2" fillId="0" borderId="53" xfId="1" applyNumberFormat="1" applyFont="1" applyBorder="1" applyAlignment="1" applyProtection="1">
      <alignment horizontal="center" vertical="center"/>
    </xf>
    <xf numFmtId="2" fontId="2" fillId="0" borderId="28" xfId="1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18" fillId="3" borderId="8" xfId="0" applyFont="1" applyFill="1" applyBorder="1"/>
    <xf numFmtId="0" fontId="18" fillId="3" borderId="9" xfId="0" applyFont="1" applyFill="1" applyBorder="1"/>
    <xf numFmtId="0" fontId="18" fillId="3" borderId="10" xfId="0" applyFont="1" applyFill="1" applyBorder="1"/>
    <xf numFmtId="0" fontId="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5">
    <cellStyle name="Normal" xfId="0" builtinId="0"/>
    <cellStyle name="Normal 2" xfId="2"/>
    <cellStyle name="Normal 3 2" xfId="3"/>
    <cellStyle name="Normal 4" xfId="4"/>
    <cellStyle name="Percent" xfId="1" builtinId="5"/>
  </cellStyles>
  <dxfs count="15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rgb="FF00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66FF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Q100"/>
  <sheetViews>
    <sheetView tabSelected="1" topLeftCell="B1" zoomScaleNormal="100" workbookViewId="0">
      <selection activeCell="C1" sqref="C1:D1"/>
    </sheetView>
  </sheetViews>
  <sheetFormatPr defaultRowHeight="15" x14ac:dyDescent="0.25"/>
  <cols>
    <col min="1" max="1" width="8.85546875" customWidth="1"/>
    <col min="2" max="2" width="19.85546875" customWidth="1"/>
    <col min="3" max="3" width="20.85546875" customWidth="1"/>
    <col min="4" max="11" width="14.7109375" customWidth="1"/>
    <col min="12" max="12" width="15.28515625" customWidth="1"/>
    <col min="13" max="13" width="14.7109375" customWidth="1"/>
    <col min="14" max="32" width="0" hidden="1" customWidth="1"/>
  </cols>
  <sheetData>
    <row r="1" spans="1:43" ht="18" x14ac:dyDescent="0.3">
      <c r="A1" s="1"/>
      <c r="B1" s="2" t="s">
        <v>0</v>
      </c>
      <c r="C1" s="347" t="s">
        <v>1</v>
      </c>
      <c r="D1" s="347"/>
      <c r="E1" s="3"/>
      <c r="F1" s="3"/>
      <c r="G1" s="3"/>
      <c r="H1" s="4" t="s">
        <v>149</v>
      </c>
      <c r="I1" s="3"/>
      <c r="J1" s="3"/>
      <c r="K1" s="3"/>
      <c r="L1" s="3"/>
      <c r="M1" s="3"/>
      <c r="N1" s="5" t="s">
        <v>2</v>
      </c>
      <c r="O1" s="3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1"/>
      <c r="AB1" s="1"/>
      <c r="AC1" s="1"/>
      <c r="AD1" s="1"/>
      <c r="AE1" s="6" t="s">
        <v>3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7.25" thickBot="1" x14ac:dyDescent="0.35">
      <c r="A2" s="1"/>
      <c r="B2" s="2" t="s">
        <v>4</v>
      </c>
      <c r="C2" s="348">
        <v>43068</v>
      </c>
      <c r="D2" s="348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3"/>
      <c r="Q2" s="3"/>
      <c r="R2" s="3"/>
      <c r="S2" s="3"/>
      <c r="T2" s="3"/>
      <c r="U2" s="3"/>
      <c r="V2" s="3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6.5" x14ac:dyDescent="0.3">
      <c r="A3" s="1"/>
      <c r="B3" s="2" t="s">
        <v>5</v>
      </c>
      <c r="C3" s="347" t="s">
        <v>150</v>
      </c>
      <c r="D3" s="347"/>
      <c r="E3" s="351" t="s">
        <v>163</v>
      </c>
      <c r="F3" s="352"/>
      <c r="G3" s="352"/>
      <c r="H3" s="353"/>
      <c r="I3" s="3"/>
      <c r="J3" s="3"/>
      <c r="K3" s="3"/>
      <c r="L3" s="3"/>
      <c r="M3" s="3"/>
      <c r="N3" s="5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7.25" thickBot="1" x14ac:dyDescent="0.35">
      <c r="A4" s="1"/>
      <c r="B4" s="2"/>
      <c r="C4" s="7"/>
      <c r="D4" s="3"/>
      <c r="E4" s="354" t="s">
        <v>165</v>
      </c>
      <c r="F4" s="355"/>
      <c r="G4" s="355"/>
      <c r="H4" s="356"/>
      <c r="I4" s="3"/>
      <c r="J4" s="3"/>
      <c r="K4" s="3"/>
      <c r="L4" s="3"/>
      <c r="M4" s="3"/>
      <c r="N4" s="5"/>
      <c r="O4" s="3"/>
      <c r="P4" s="3"/>
      <c r="Q4" s="3"/>
      <c r="R4" s="3"/>
      <c r="S4" s="3"/>
      <c r="T4" s="3"/>
      <c r="U4" s="3"/>
      <c r="V4" s="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6.5" x14ac:dyDescent="0.3">
      <c r="A5" s="1"/>
      <c r="B5" s="8"/>
      <c r="C5" s="9" t="s">
        <v>6</v>
      </c>
      <c r="D5" s="10"/>
      <c r="E5" s="10"/>
      <c r="F5" s="10"/>
      <c r="G5" s="1"/>
      <c r="H5" s="1"/>
      <c r="I5" s="3"/>
      <c r="J5" s="3"/>
      <c r="K5" s="3"/>
      <c r="L5" s="3"/>
      <c r="M5" s="3"/>
      <c r="N5" s="5"/>
      <c r="O5" s="3"/>
      <c r="P5" s="3"/>
      <c r="Q5" s="3"/>
      <c r="R5" s="3"/>
      <c r="S5" s="3"/>
      <c r="T5" s="3"/>
      <c r="U5" s="3"/>
      <c r="V5" s="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7.25" thickBot="1" x14ac:dyDescent="0.35">
      <c r="A6" s="1"/>
      <c r="B6" s="10"/>
      <c r="C6" s="10"/>
      <c r="D6" s="10"/>
      <c r="E6" s="10"/>
      <c r="F6" s="10"/>
      <c r="G6" s="1"/>
      <c r="H6" s="1"/>
      <c r="I6" s="3"/>
      <c r="J6" s="3"/>
      <c r="K6" s="3"/>
      <c r="L6" s="3"/>
      <c r="M6" s="3"/>
      <c r="N6" s="5"/>
      <c r="O6" s="3"/>
      <c r="P6" s="3"/>
      <c r="Q6" s="3"/>
      <c r="R6" s="3"/>
      <c r="S6" s="3"/>
      <c r="T6" s="3"/>
      <c r="U6" s="3"/>
      <c r="V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7.25" thickBot="1" x14ac:dyDescent="0.35">
      <c r="A7" s="1"/>
      <c r="B7" s="11"/>
      <c r="C7" s="12"/>
      <c r="D7" s="12"/>
      <c r="E7" s="13" t="s">
        <v>7</v>
      </c>
      <c r="F7" s="302">
        <v>1</v>
      </c>
      <c r="G7" s="12" t="s">
        <v>8</v>
      </c>
      <c r="H7" s="14"/>
      <c r="I7" s="344" t="str">
        <f>IF(F7=2.1, "Modified Green Infrastructure or Maximum SOV Allowed",IF(F7=3.1,"Proprietary Device or Extended Detention Pond",IF(F7&lt;1,"Green Infrastructure with SOV Credits Used", "Green Infrastructure")))</f>
        <v>Green Infrastructure</v>
      </c>
      <c r="J7" s="345"/>
      <c r="K7" s="345"/>
      <c r="L7" s="345"/>
      <c r="M7" s="3"/>
      <c r="N7" s="5"/>
      <c r="O7" s="3"/>
      <c r="P7" s="3"/>
      <c r="Q7" s="3"/>
      <c r="R7" s="3"/>
      <c r="S7" s="3"/>
      <c r="T7" s="3"/>
      <c r="U7" s="3"/>
      <c r="V7" s="3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7.25" thickBot="1" x14ac:dyDescent="0.3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3"/>
      <c r="P8" s="3"/>
      <c r="Q8" s="3"/>
      <c r="R8" s="3"/>
      <c r="S8" s="3"/>
      <c r="T8" s="3"/>
      <c r="U8" s="3"/>
      <c r="V8" s="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7.25" thickBot="1" x14ac:dyDescent="0.35">
      <c r="A9" s="1"/>
      <c r="B9" s="15"/>
      <c r="C9" s="12"/>
      <c r="D9" s="12"/>
      <c r="E9" s="13" t="s">
        <v>9</v>
      </c>
      <c r="F9" s="16">
        <f>LOOKUP(F7,R18:R25,S18:S25)</f>
        <v>10</v>
      </c>
      <c r="G9" s="349" t="s">
        <v>10</v>
      </c>
      <c r="H9" s="350"/>
      <c r="I9" s="3"/>
      <c r="J9" s="3"/>
      <c r="K9" s="3"/>
      <c r="L9" s="3"/>
      <c r="M9" s="3"/>
      <c r="N9" s="5"/>
      <c r="O9" s="3"/>
      <c r="P9" s="3"/>
      <c r="Q9" s="3"/>
      <c r="R9" s="3"/>
      <c r="S9" s="3"/>
      <c r="T9" s="3"/>
      <c r="U9" s="3"/>
      <c r="V9" s="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6.5" x14ac:dyDescent="0.3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  <c r="O10" s="3"/>
      <c r="P10" s="3"/>
      <c r="Q10" s="3"/>
      <c r="R10" s="3"/>
      <c r="S10" s="3"/>
      <c r="T10" s="3"/>
      <c r="U10" s="3"/>
      <c r="V10" s="3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25.5" x14ac:dyDescent="0.3">
      <c r="A11" s="1"/>
      <c r="B11" s="17" t="s">
        <v>11</v>
      </c>
      <c r="C11" s="18"/>
      <c r="D11" s="3"/>
      <c r="E11" s="3"/>
      <c r="F11" s="3"/>
      <c r="G11" s="3"/>
      <c r="H11" s="18"/>
      <c r="I11" s="3"/>
      <c r="J11" s="3"/>
      <c r="K11" s="3"/>
      <c r="L11" s="3"/>
      <c r="M11" s="3"/>
      <c r="N11" s="5"/>
      <c r="O11" s="3"/>
      <c r="P11" s="3"/>
      <c r="Q11" s="3"/>
      <c r="R11" s="3"/>
      <c r="S11" s="3"/>
      <c r="T11" s="3"/>
      <c r="U11" s="3"/>
      <c r="V11" s="3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8" x14ac:dyDescent="0.3">
      <c r="A12" s="1"/>
      <c r="B12" s="1"/>
      <c r="D12" s="18"/>
      <c r="E12" s="20" t="s">
        <v>151</v>
      </c>
      <c r="F12" s="303"/>
      <c r="G12" s="21" t="s">
        <v>13</v>
      </c>
      <c r="H12" s="22">
        <f>F12/43560</f>
        <v>0</v>
      </c>
      <c r="I12" s="3"/>
      <c r="J12" s="3"/>
      <c r="K12" s="3"/>
      <c r="L12" s="3"/>
      <c r="M12" s="3"/>
      <c r="N12" s="5"/>
      <c r="O12" s="3"/>
      <c r="P12" s="3"/>
      <c r="Q12" s="3"/>
      <c r="R12" s="3"/>
      <c r="S12" s="3"/>
      <c r="T12" s="3"/>
      <c r="U12" s="3"/>
      <c r="V12" s="3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8" x14ac:dyDescent="0.3">
      <c r="A13" s="1"/>
      <c r="B13" s="1"/>
      <c r="C13" s="1"/>
      <c r="D13" s="3"/>
      <c r="E13" s="23" t="s">
        <v>14</v>
      </c>
      <c r="F13" s="304"/>
      <c r="G13" s="21" t="s">
        <v>13</v>
      </c>
      <c r="H13" s="22">
        <f>F13/43560</f>
        <v>0</v>
      </c>
      <c r="I13" s="3"/>
      <c r="J13" s="3"/>
      <c r="K13" s="3"/>
      <c r="L13" s="3"/>
      <c r="M13" s="3"/>
      <c r="N13" s="5"/>
      <c r="O13" s="3"/>
      <c r="P13" s="3"/>
      <c r="Q13" s="3"/>
      <c r="R13" s="3"/>
      <c r="S13" s="3"/>
      <c r="T13" s="3"/>
      <c r="U13" s="3"/>
      <c r="V13" s="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6.5" x14ac:dyDescent="0.3">
      <c r="A14" s="1"/>
      <c r="B14" s="24" t="s">
        <v>15</v>
      </c>
      <c r="C14" s="24"/>
      <c r="D14" s="24"/>
      <c r="E14" s="24"/>
      <c r="F14" s="25"/>
      <c r="G14" s="24"/>
      <c r="H14" s="22">
        <f t="shared" ref="H14:H26" si="0">F14/43560</f>
        <v>0</v>
      </c>
      <c r="I14" s="3"/>
      <c r="J14" s="3"/>
      <c r="K14" s="3"/>
      <c r="L14" s="3"/>
      <c r="M14" s="3"/>
      <c r="N14" s="5"/>
      <c r="O14" s="3"/>
      <c r="P14" s="3"/>
      <c r="Q14" s="3"/>
      <c r="R14" s="3"/>
      <c r="S14" s="3"/>
      <c r="T14" s="3"/>
      <c r="U14" s="3"/>
      <c r="V14" s="3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8" x14ac:dyDescent="0.3">
      <c r="A15" s="1"/>
      <c r="B15" s="26" t="s">
        <v>16</v>
      </c>
      <c r="C15" s="1" t="s">
        <v>17</v>
      </c>
      <c r="D15" s="1"/>
      <c r="E15" s="1"/>
      <c r="F15" s="305">
        <v>0</v>
      </c>
      <c r="G15" s="21" t="s">
        <v>13</v>
      </c>
      <c r="H15" s="22">
        <f t="shared" si="0"/>
        <v>0</v>
      </c>
      <c r="I15" s="3"/>
      <c r="J15" s="3"/>
      <c r="K15" s="3"/>
      <c r="L15" s="3"/>
      <c r="M15" s="3"/>
      <c r="N15" s="5"/>
      <c r="O15" s="3"/>
      <c r="P15" s="3"/>
      <c r="Q15" s="3"/>
      <c r="R15" s="357" t="s">
        <v>18</v>
      </c>
      <c r="S15" s="357" t="s">
        <v>19</v>
      </c>
      <c r="T15" s="3"/>
      <c r="U15" s="3"/>
      <c r="V15" s="3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8" x14ac:dyDescent="0.3">
      <c r="A16" s="1"/>
      <c r="B16" s="26" t="s">
        <v>20</v>
      </c>
      <c r="C16" s="1" t="s">
        <v>21</v>
      </c>
      <c r="D16" s="1"/>
      <c r="E16" s="1"/>
      <c r="F16" s="305">
        <v>0</v>
      </c>
      <c r="G16" s="21" t="s">
        <v>13</v>
      </c>
      <c r="H16" s="22">
        <f t="shared" si="0"/>
        <v>0</v>
      </c>
      <c r="I16" s="1"/>
      <c r="J16" s="1"/>
      <c r="K16" s="1"/>
      <c r="L16" s="1"/>
      <c r="M16" s="1"/>
      <c r="N16" s="5"/>
      <c r="O16" s="3"/>
      <c r="P16" s="3"/>
      <c r="Q16" s="3"/>
      <c r="R16" s="357"/>
      <c r="S16" s="357"/>
      <c r="T16" s="3"/>
      <c r="U16" s="3"/>
      <c r="V16" s="3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8" x14ac:dyDescent="0.3">
      <c r="A17" s="1"/>
      <c r="B17" s="26" t="s">
        <v>22</v>
      </c>
      <c r="C17" s="1" t="s">
        <v>23</v>
      </c>
      <c r="D17" s="1"/>
      <c r="E17" s="1"/>
      <c r="F17" s="305">
        <v>0</v>
      </c>
      <c r="G17" s="21" t="s">
        <v>13</v>
      </c>
      <c r="H17" s="22">
        <f t="shared" si="0"/>
        <v>0</v>
      </c>
      <c r="I17" s="1"/>
      <c r="J17" s="1"/>
      <c r="K17" s="1"/>
      <c r="L17" s="1"/>
      <c r="M17" s="1"/>
      <c r="N17" s="5"/>
      <c r="O17" s="3"/>
      <c r="P17" s="3"/>
      <c r="Q17" s="3"/>
      <c r="R17" s="358"/>
      <c r="S17" s="358"/>
      <c r="T17" s="3"/>
      <c r="U17" s="3"/>
      <c r="V17" s="3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8" x14ac:dyDescent="0.3">
      <c r="A18" s="1"/>
      <c r="B18" s="26" t="s">
        <v>24</v>
      </c>
      <c r="C18" s="1" t="s">
        <v>25</v>
      </c>
      <c r="D18" s="1"/>
      <c r="E18" s="1"/>
      <c r="F18" s="305">
        <v>0</v>
      </c>
      <c r="G18" s="21" t="s">
        <v>13</v>
      </c>
      <c r="H18" s="22">
        <f t="shared" si="0"/>
        <v>0</v>
      </c>
      <c r="I18" s="1"/>
      <c r="J18" s="1"/>
      <c r="K18" s="1"/>
      <c r="L18" s="1"/>
      <c r="M18" s="1"/>
      <c r="N18" s="5"/>
      <c r="O18" s="3"/>
      <c r="P18" s="3"/>
      <c r="Q18" s="3"/>
      <c r="R18" s="27">
        <v>0.5</v>
      </c>
      <c r="S18" s="28">
        <v>20</v>
      </c>
      <c r="T18" s="3"/>
      <c r="U18" s="3"/>
      <c r="V18" s="3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8" x14ac:dyDescent="0.3">
      <c r="A19" s="1"/>
      <c r="B19" s="26" t="s">
        <v>26</v>
      </c>
      <c r="C19" s="1" t="s">
        <v>27</v>
      </c>
      <c r="D19" s="1"/>
      <c r="E19" s="1"/>
      <c r="F19" s="305">
        <v>0</v>
      </c>
      <c r="G19" s="21" t="s">
        <v>13</v>
      </c>
      <c r="H19" s="22">
        <f t="shared" si="0"/>
        <v>0</v>
      </c>
      <c r="I19" s="1"/>
      <c r="J19" s="1"/>
      <c r="K19" s="1"/>
      <c r="L19" s="1"/>
      <c r="M19" s="1"/>
      <c r="N19" s="5"/>
      <c r="O19" s="3"/>
      <c r="P19" s="3"/>
      <c r="Q19" s="3"/>
      <c r="R19" s="27">
        <v>0.6</v>
      </c>
      <c r="S19" s="28">
        <v>18</v>
      </c>
      <c r="T19" s="3"/>
      <c r="U19" s="3"/>
      <c r="V19" s="3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8" x14ac:dyDescent="0.3">
      <c r="A20" s="1"/>
      <c r="B20" s="20" t="s">
        <v>28</v>
      </c>
      <c r="C20" s="21" t="s">
        <v>29</v>
      </c>
      <c r="D20" s="21"/>
      <c r="E20" s="21"/>
      <c r="F20" s="303">
        <v>0</v>
      </c>
      <c r="G20" s="21" t="s">
        <v>13</v>
      </c>
      <c r="H20" s="22">
        <f t="shared" si="0"/>
        <v>0</v>
      </c>
      <c r="I20" s="1"/>
      <c r="J20" s="1"/>
      <c r="K20" s="1"/>
      <c r="L20" s="1"/>
      <c r="M20" s="1"/>
      <c r="N20" s="5"/>
      <c r="O20" s="3"/>
      <c r="P20" s="3"/>
      <c r="Q20" s="3"/>
      <c r="R20" s="27">
        <v>0.7</v>
      </c>
      <c r="S20" s="28">
        <v>16</v>
      </c>
      <c r="T20" s="3"/>
      <c r="U20" s="3"/>
      <c r="V20" s="3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8" x14ac:dyDescent="0.3">
      <c r="A21" s="1"/>
      <c r="B21" s="29"/>
      <c r="C21" s="30"/>
      <c r="D21" s="30"/>
      <c r="E21" s="30" t="s">
        <v>30</v>
      </c>
      <c r="F21" s="31">
        <f>SUM(F15:F20)</f>
        <v>0</v>
      </c>
      <c r="G21" s="21" t="s">
        <v>13</v>
      </c>
      <c r="H21" s="22">
        <f t="shared" si="0"/>
        <v>0</v>
      </c>
      <c r="I21" s="1"/>
      <c r="J21" s="1"/>
      <c r="K21" s="1"/>
      <c r="L21" s="1"/>
      <c r="M21" s="1"/>
      <c r="N21" s="5"/>
      <c r="O21" s="3"/>
      <c r="P21" s="3"/>
      <c r="Q21" s="3"/>
      <c r="R21" s="27">
        <v>0.8</v>
      </c>
      <c r="S21" s="28">
        <v>14</v>
      </c>
      <c r="T21" s="3"/>
      <c r="U21" s="3"/>
      <c r="V21" s="3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8" x14ac:dyDescent="0.3">
      <c r="A22" s="32"/>
      <c r="C22" s="19" t="s">
        <v>12</v>
      </c>
      <c r="D22" s="3"/>
      <c r="E22" s="23" t="s">
        <v>143</v>
      </c>
      <c r="F22" s="33">
        <f>F12-F21</f>
        <v>0</v>
      </c>
      <c r="G22" s="21" t="s">
        <v>13</v>
      </c>
      <c r="H22" s="22">
        <f t="shared" si="0"/>
        <v>0</v>
      </c>
      <c r="I22" s="32"/>
      <c r="J22" s="32"/>
      <c r="K22" s="32"/>
      <c r="L22" s="32"/>
      <c r="M22" s="32"/>
      <c r="N22" s="34"/>
      <c r="O22" s="32"/>
      <c r="P22" s="32"/>
      <c r="Q22" s="32"/>
      <c r="R22" s="35">
        <v>0.9</v>
      </c>
      <c r="S22" s="36">
        <v>12</v>
      </c>
      <c r="T22" s="3"/>
      <c r="U22" s="37"/>
      <c r="V22" s="37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1:43" ht="16.5" x14ac:dyDescent="0.3">
      <c r="A23" s="1"/>
      <c r="B23" s="18"/>
      <c r="C23" s="18"/>
      <c r="D23" s="18"/>
      <c r="E23" s="38"/>
      <c r="F23" s="38"/>
      <c r="G23" s="18"/>
      <c r="H23" s="22">
        <f t="shared" si="0"/>
        <v>0</v>
      </c>
      <c r="I23" s="1"/>
      <c r="J23" s="1"/>
      <c r="K23" s="1"/>
      <c r="L23" s="1"/>
      <c r="M23" s="1"/>
      <c r="N23" s="5"/>
      <c r="O23" s="3"/>
      <c r="P23" s="3"/>
      <c r="Q23" s="3"/>
      <c r="R23" s="27">
        <v>1</v>
      </c>
      <c r="S23" s="28">
        <v>10</v>
      </c>
      <c r="T23" s="3"/>
      <c r="U23" s="3"/>
      <c r="V23" s="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8" x14ac:dyDescent="0.3">
      <c r="A24" s="1"/>
      <c r="D24" s="18"/>
      <c r="E24" s="20" t="s">
        <v>144</v>
      </c>
      <c r="F24" s="40">
        <f>F13</f>
        <v>0</v>
      </c>
      <c r="G24" s="21" t="s">
        <v>13</v>
      </c>
      <c r="H24" s="22">
        <f t="shared" si="0"/>
        <v>0</v>
      </c>
      <c r="I24" s="1"/>
      <c r="J24" s="1"/>
      <c r="K24" s="1"/>
      <c r="L24" s="1"/>
      <c r="M24" s="1"/>
      <c r="N24" s="5"/>
      <c r="O24" s="3"/>
      <c r="P24" s="3"/>
      <c r="Q24" s="3"/>
      <c r="R24" s="27">
        <v>1.6</v>
      </c>
      <c r="S24" s="28">
        <v>8</v>
      </c>
      <c r="T24" s="3"/>
      <c r="U24" s="3"/>
      <c r="V24" s="3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8" x14ac:dyDescent="0.3">
      <c r="A25" s="19"/>
      <c r="B25" s="41"/>
      <c r="C25" s="42"/>
      <c r="D25" s="42"/>
      <c r="E25" s="26" t="s">
        <v>152</v>
      </c>
      <c r="F25" s="43">
        <f>F12-F13-F21</f>
        <v>0</v>
      </c>
      <c r="G25" s="21" t="s">
        <v>13</v>
      </c>
      <c r="H25" s="22">
        <f t="shared" si="0"/>
        <v>0</v>
      </c>
      <c r="I25" s="19"/>
      <c r="J25" s="19"/>
      <c r="K25" s="19"/>
      <c r="L25" s="19"/>
      <c r="M25" s="19"/>
      <c r="N25" s="44"/>
      <c r="O25" s="19"/>
      <c r="P25" s="3"/>
      <c r="Q25" s="3"/>
      <c r="R25" s="27">
        <v>2.1</v>
      </c>
      <c r="S25" s="28">
        <v>8</v>
      </c>
      <c r="T25" s="3"/>
      <c r="U25" s="45"/>
      <c r="V25" s="45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ht="18" x14ac:dyDescent="0.3">
      <c r="A26" s="1"/>
      <c r="B26" s="3"/>
      <c r="C26" s="3"/>
      <c r="D26" s="3"/>
      <c r="E26" s="23" t="s">
        <v>31</v>
      </c>
      <c r="F26" s="46">
        <f>F24/F9</f>
        <v>0</v>
      </c>
      <c r="G26" s="21" t="s">
        <v>13</v>
      </c>
      <c r="H26" s="22">
        <f t="shared" si="0"/>
        <v>0</v>
      </c>
      <c r="I26" s="1"/>
      <c r="J26" s="1"/>
      <c r="K26" s="1"/>
      <c r="L26" s="1"/>
      <c r="M26" s="1"/>
      <c r="N26" s="5"/>
      <c r="O26" s="3"/>
      <c r="P26" s="3"/>
      <c r="Q26" s="3"/>
      <c r="R26" s="27">
        <v>3.1</v>
      </c>
      <c r="S26" s="28">
        <v>8</v>
      </c>
      <c r="T26" s="3"/>
      <c r="U26" s="3"/>
      <c r="V26" s="3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6.5" x14ac:dyDescent="0.3">
      <c r="A27" s="1"/>
      <c r="B27" s="19"/>
      <c r="C27" s="19"/>
      <c r="D27" s="19"/>
      <c r="E27" s="26" t="s">
        <v>32</v>
      </c>
      <c r="F27" s="19"/>
      <c r="G27" s="19"/>
      <c r="H27" s="19"/>
      <c r="I27" s="1"/>
      <c r="J27" s="1"/>
      <c r="K27" s="1"/>
      <c r="L27" s="1"/>
      <c r="M27" s="1"/>
      <c r="N27" s="5"/>
      <c r="O27" s="3"/>
      <c r="P27" s="3"/>
      <c r="Q27" s="3"/>
      <c r="R27" s="3"/>
      <c r="S27" s="3"/>
      <c r="T27" s="3"/>
      <c r="U27" s="3"/>
      <c r="V27" s="3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7.25" thickBot="1" x14ac:dyDescent="0.35">
      <c r="A28" s="1"/>
      <c r="B28" s="3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5"/>
      <c r="O28" s="3"/>
      <c r="P28" s="3"/>
      <c r="Q28" s="3"/>
      <c r="R28" s="3"/>
      <c r="S28" s="3"/>
      <c r="T28" s="3"/>
      <c r="U28" s="3"/>
      <c r="V28" s="3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8" x14ac:dyDescent="0.3">
      <c r="A29" s="1"/>
      <c r="B29" s="47"/>
      <c r="C29" s="48"/>
      <c r="D29" s="48"/>
      <c r="E29" s="49" t="s">
        <v>33</v>
      </c>
      <c r="F29" s="50">
        <f>F22</f>
        <v>0</v>
      </c>
      <c r="G29" s="51" t="s">
        <v>34</v>
      </c>
      <c r="H29" s="52"/>
      <c r="I29" s="1"/>
      <c r="J29" s="1"/>
      <c r="K29" s="1"/>
      <c r="L29" s="1"/>
      <c r="M29" s="1"/>
      <c r="N29" s="5"/>
      <c r="O29" s="3"/>
      <c r="P29" s="3"/>
      <c r="Q29" s="1"/>
      <c r="R29" s="3"/>
      <c r="S29" s="3"/>
      <c r="T29" s="3"/>
      <c r="U29" s="3"/>
      <c r="V29" s="3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7.25" thickBot="1" x14ac:dyDescent="0.35">
      <c r="A30" s="1"/>
      <c r="B30" s="53"/>
      <c r="C30" s="54"/>
      <c r="D30" s="54"/>
      <c r="E30" s="55" t="s">
        <v>35</v>
      </c>
      <c r="F30" s="56">
        <f>F29/43560</f>
        <v>0</v>
      </c>
      <c r="G30" s="54" t="s">
        <v>36</v>
      </c>
      <c r="H30" s="57"/>
      <c r="I30" s="1"/>
      <c r="J30" s="1"/>
      <c r="K30" s="1"/>
      <c r="L30" s="1"/>
      <c r="M30" s="1"/>
      <c r="N30" s="5"/>
      <c r="O30" s="3"/>
      <c r="P30" s="3"/>
      <c r="Q30" s="3"/>
      <c r="R30" s="3"/>
      <c r="S30" s="3"/>
      <c r="T30" s="3"/>
      <c r="U30" s="3"/>
      <c r="V30" s="3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6.5" x14ac:dyDescent="0.3">
      <c r="A31" s="1"/>
      <c r="B31" s="3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5"/>
      <c r="O31" s="3"/>
      <c r="P31" s="3"/>
      <c r="Q31" s="3"/>
      <c r="R31" s="3"/>
      <c r="S31" s="3"/>
      <c r="T31" s="3"/>
      <c r="U31" s="3"/>
      <c r="V31" s="3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7.25" thickBot="1" x14ac:dyDescent="0.35">
      <c r="A32" s="1"/>
      <c r="B32" s="58"/>
      <c r="C32" s="58"/>
      <c r="D32" s="58"/>
      <c r="E32" s="26"/>
      <c r="F32" s="19"/>
      <c r="G32" s="19"/>
      <c r="H32" s="19"/>
      <c r="I32" s="1"/>
      <c r="J32" s="1"/>
      <c r="K32" s="1"/>
      <c r="L32" s="1"/>
      <c r="M32" s="1"/>
      <c r="N32" s="5"/>
      <c r="O32" s="3"/>
      <c r="P32" s="3"/>
      <c r="Q32" s="3"/>
      <c r="R32" s="3"/>
      <c r="S32" s="3"/>
      <c r="T32" s="3"/>
      <c r="U32" s="3"/>
      <c r="V32" s="3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7.25" thickBot="1" x14ac:dyDescent="0.35">
      <c r="A33" s="1"/>
      <c r="B33" s="59" t="s">
        <v>37</v>
      </c>
      <c r="C33" s="12"/>
      <c r="D33" s="60"/>
      <c r="E33" s="60"/>
      <c r="F33" s="60"/>
      <c r="G33" s="60"/>
      <c r="H33" s="60"/>
      <c r="I33" s="60"/>
      <c r="J33" s="60"/>
      <c r="K33" s="60"/>
      <c r="L33" s="61"/>
      <c r="M33" s="3"/>
      <c r="N33" s="5"/>
      <c r="O33" s="62" t="s">
        <v>38</v>
      </c>
      <c r="P33" s="3"/>
      <c r="Q33" s="3"/>
      <c r="R33" s="3"/>
      <c r="S33" s="3"/>
      <c r="T33" s="3"/>
      <c r="U33" s="3"/>
      <c r="V33" s="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8" customHeight="1" thickBot="1" x14ac:dyDescent="0.35">
      <c r="A34" s="1"/>
      <c r="B34" s="63" t="s">
        <v>39</v>
      </c>
      <c r="C34" s="64" t="s">
        <v>40</v>
      </c>
      <c r="D34" s="65">
        <v>0.5</v>
      </c>
      <c r="E34" s="65">
        <v>0.6</v>
      </c>
      <c r="F34" s="65">
        <v>0.7</v>
      </c>
      <c r="G34" s="65">
        <v>0.8</v>
      </c>
      <c r="H34" s="65">
        <v>0.9</v>
      </c>
      <c r="I34" s="65">
        <v>1</v>
      </c>
      <c r="J34" s="65">
        <v>1.6</v>
      </c>
      <c r="K34" s="65">
        <v>2.1</v>
      </c>
      <c r="L34" s="65">
        <v>3.1</v>
      </c>
      <c r="M34" s="3"/>
      <c r="N34" s="5"/>
      <c r="O34" s="3" t="s">
        <v>41</v>
      </c>
      <c r="P34" s="3"/>
      <c r="Q34" s="3"/>
      <c r="R34" s="3"/>
      <c r="S34" s="3"/>
      <c r="T34" s="3"/>
      <c r="U34" s="3"/>
      <c r="V34" s="3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6.5" x14ac:dyDescent="0.3">
      <c r="A35" s="1"/>
      <c r="B35" s="66" t="s">
        <v>42</v>
      </c>
      <c r="C35" s="67" t="s">
        <v>43</v>
      </c>
      <c r="D35" s="68" t="s">
        <v>43</v>
      </c>
      <c r="E35" s="68" t="s">
        <v>43</v>
      </c>
      <c r="F35" s="68" t="s">
        <v>43</v>
      </c>
      <c r="G35" s="68" t="s">
        <v>43</v>
      </c>
      <c r="H35" s="68" t="s">
        <v>43</v>
      </c>
      <c r="I35" s="68" t="s">
        <v>43</v>
      </c>
      <c r="J35" s="68" t="s">
        <v>43</v>
      </c>
      <c r="K35" s="68" t="s">
        <v>43</v>
      </c>
      <c r="L35" s="68" t="s">
        <v>43</v>
      </c>
      <c r="M35" s="3"/>
      <c r="N35" s="5"/>
      <c r="O35" s="3" t="s">
        <v>44</v>
      </c>
      <c r="P35" s="3"/>
      <c r="Q35" s="3"/>
      <c r="R35" s="3"/>
      <c r="S35" s="3"/>
      <c r="T35" s="3"/>
      <c r="U35" s="3"/>
      <c r="V35" s="3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6.5" customHeight="1" x14ac:dyDescent="0.3">
      <c r="A36" s="1"/>
      <c r="B36" s="69" t="s">
        <v>45</v>
      </c>
      <c r="C36" s="70" t="s">
        <v>46</v>
      </c>
      <c r="D36" s="70">
        <v>0</v>
      </c>
      <c r="E36" s="71">
        <v>0</v>
      </c>
      <c r="F36" s="71">
        <v>0</v>
      </c>
      <c r="G36" s="71">
        <v>0</v>
      </c>
      <c r="H36" s="71">
        <v>0</v>
      </c>
      <c r="I36" s="70">
        <v>0</v>
      </c>
      <c r="J36" s="70">
        <v>0</v>
      </c>
      <c r="K36" s="72">
        <v>0</v>
      </c>
      <c r="L36" s="72">
        <v>0</v>
      </c>
      <c r="M36" s="3"/>
      <c r="N36" s="5"/>
      <c r="O36" s="3" t="s">
        <v>47</v>
      </c>
      <c r="P36" s="3"/>
      <c r="Q36" s="3"/>
      <c r="R36" s="3"/>
      <c r="S36" s="3"/>
      <c r="T36" s="3"/>
      <c r="U36" s="3"/>
      <c r="V36" s="3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6.5" customHeight="1" x14ac:dyDescent="0.3">
      <c r="A37" s="1"/>
      <c r="B37" s="73" t="s">
        <v>48</v>
      </c>
      <c r="C37" s="74" t="s">
        <v>49</v>
      </c>
      <c r="D37" s="74">
        <v>0.79</v>
      </c>
      <c r="E37" s="71">
        <f t="shared" ref="E37:H41" si="1">$D37+($I37-$D37)*(E$34-$D$34)/($I$34-$D$34)</f>
        <v>0.80200000000000005</v>
      </c>
      <c r="F37" s="71">
        <f t="shared" si="1"/>
        <v>0.81400000000000006</v>
      </c>
      <c r="G37" s="71">
        <f t="shared" si="1"/>
        <v>0.82599999999999996</v>
      </c>
      <c r="H37" s="71">
        <f t="shared" si="1"/>
        <v>0.83799999999999997</v>
      </c>
      <c r="I37" s="74">
        <v>0.85</v>
      </c>
      <c r="J37" s="74">
        <v>0.88</v>
      </c>
      <c r="K37" s="74">
        <v>0.9</v>
      </c>
      <c r="L37" s="74">
        <v>0.94</v>
      </c>
      <c r="M37" s="3"/>
      <c r="N37" s="5"/>
      <c r="O37" s="3" t="s">
        <v>50</v>
      </c>
      <c r="P37" s="3"/>
      <c r="Q37" s="3"/>
      <c r="R37" s="3"/>
      <c r="S37" s="3"/>
      <c r="T37" s="3"/>
      <c r="U37" s="3"/>
      <c r="V37" s="3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6.5" customHeight="1" x14ac:dyDescent="0.3">
      <c r="A38" s="1"/>
      <c r="B38" s="73" t="s">
        <v>51</v>
      </c>
      <c r="C38" s="74" t="s">
        <v>49</v>
      </c>
      <c r="D38" s="74">
        <v>0.97</v>
      </c>
      <c r="E38" s="71">
        <f t="shared" si="1"/>
        <v>0.97199999999999998</v>
      </c>
      <c r="F38" s="71">
        <f t="shared" si="1"/>
        <v>0.97399999999999998</v>
      </c>
      <c r="G38" s="71">
        <f t="shared" si="1"/>
        <v>0.97599999999999998</v>
      </c>
      <c r="H38" s="71">
        <f t="shared" si="1"/>
        <v>0.97799999999999998</v>
      </c>
      <c r="I38" s="74">
        <v>0.98</v>
      </c>
      <c r="J38" s="74">
        <v>0.99</v>
      </c>
      <c r="K38" s="74">
        <v>0.99</v>
      </c>
      <c r="L38" s="74">
        <v>0.99</v>
      </c>
      <c r="M38" s="3"/>
      <c r="N38" s="5"/>
      <c r="O38" s="3" t="s">
        <v>52</v>
      </c>
      <c r="P38" s="3"/>
      <c r="Q38" s="3"/>
      <c r="R38" s="3"/>
      <c r="S38" s="3"/>
      <c r="T38" s="3"/>
      <c r="U38" s="3"/>
      <c r="V38" s="3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6.5" customHeight="1" x14ac:dyDescent="0.3">
      <c r="A39" s="1"/>
      <c r="B39" s="73" t="s">
        <v>53</v>
      </c>
      <c r="C39" s="74" t="s">
        <v>49</v>
      </c>
      <c r="D39" s="74">
        <v>0.95</v>
      </c>
      <c r="E39" s="71">
        <f t="shared" si="1"/>
        <v>0.95399999999999996</v>
      </c>
      <c r="F39" s="71">
        <f t="shared" si="1"/>
        <v>0.95799999999999996</v>
      </c>
      <c r="G39" s="71">
        <f t="shared" si="1"/>
        <v>0.96199999999999997</v>
      </c>
      <c r="H39" s="71">
        <f t="shared" si="1"/>
        <v>0.96599999999999997</v>
      </c>
      <c r="I39" s="74">
        <v>0.97</v>
      </c>
      <c r="J39" s="74">
        <v>0.99</v>
      </c>
      <c r="K39" s="74">
        <v>0.99</v>
      </c>
      <c r="L39" s="74">
        <v>0.99</v>
      </c>
      <c r="M39" s="3"/>
      <c r="N39" s="5"/>
      <c r="O39" s="3" t="s">
        <v>54</v>
      </c>
      <c r="P39" s="3"/>
      <c r="Q39" s="3"/>
      <c r="R39" s="3"/>
      <c r="S39" s="3"/>
      <c r="T39" s="3"/>
      <c r="U39" s="3"/>
      <c r="V39" s="3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6.5" customHeight="1" x14ac:dyDescent="0.25">
      <c r="A40" s="6"/>
      <c r="B40" s="73" t="s">
        <v>55</v>
      </c>
      <c r="C40" s="74" t="s">
        <v>46</v>
      </c>
      <c r="D40" s="74">
        <v>0</v>
      </c>
      <c r="E40" s="71">
        <v>0</v>
      </c>
      <c r="F40" s="71">
        <v>0</v>
      </c>
      <c r="G40" s="71">
        <v>0</v>
      </c>
      <c r="H40" s="71">
        <v>0</v>
      </c>
      <c r="I40" s="74">
        <v>0</v>
      </c>
      <c r="J40" s="74">
        <v>0</v>
      </c>
      <c r="K40" s="74">
        <v>0</v>
      </c>
      <c r="L40" s="74">
        <v>0</v>
      </c>
      <c r="M40" s="3"/>
      <c r="N40" s="5"/>
      <c r="O40" s="3" t="s">
        <v>56</v>
      </c>
      <c r="P40" s="75"/>
      <c r="Q40" s="75"/>
      <c r="R40" s="75"/>
      <c r="S40" s="6"/>
      <c r="T40" s="75"/>
      <c r="U40" s="75"/>
      <c r="V40" s="75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ht="16.5" customHeight="1" x14ac:dyDescent="0.3">
      <c r="A41" s="1"/>
      <c r="B41" s="73" t="s">
        <v>57</v>
      </c>
      <c r="C41" s="74" t="s">
        <v>49</v>
      </c>
      <c r="D41" s="74">
        <v>0.64</v>
      </c>
      <c r="E41" s="71">
        <f t="shared" si="1"/>
        <v>0.65200000000000002</v>
      </c>
      <c r="F41" s="71">
        <f t="shared" si="1"/>
        <v>0.66400000000000003</v>
      </c>
      <c r="G41" s="71">
        <f t="shared" si="1"/>
        <v>0.67599999999999993</v>
      </c>
      <c r="H41" s="71">
        <f t="shared" si="1"/>
        <v>0.68799999999999994</v>
      </c>
      <c r="I41" s="74">
        <v>0.7</v>
      </c>
      <c r="J41" s="74">
        <v>0.79</v>
      </c>
      <c r="K41" s="74">
        <v>0.85</v>
      </c>
      <c r="L41" s="74">
        <v>0.9</v>
      </c>
      <c r="M41" s="3"/>
      <c r="N41" s="5"/>
      <c r="O41" s="3" t="s">
        <v>58</v>
      </c>
      <c r="P41" s="3"/>
      <c r="Q41" s="3"/>
      <c r="R41" s="3"/>
      <c r="S41" s="3"/>
      <c r="T41" s="3"/>
      <c r="U41" s="3"/>
      <c r="V41" s="3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6.5" customHeight="1" thickBot="1" x14ac:dyDescent="0.35">
      <c r="A42" s="1"/>
      <c r="B42" s="76" t="s">
        <v>59</v>
      </c>
      <c r="C42" s="77" t="s">
        <v>46</v>
      </c>
      <c r="D42" s="77">
        <v>0</v>
      </c>
      <c r="E42" s="78">
        <v>0</v>
      </c>
      <c r="F42" s="78">
        <v>0</v>
      </c>
      <c r="G42" s="78">
        <v>0</v>
      </c>
      <c r="H42" s="78">
        <v>0</v>
      </c>
      <c r="I42" s="77">
        <v>0</v>
      </c>
      <c r="J42" s="77">
        <v>0</v>
      </c>
      <c r="K42" s="77">
        <v>0</v>
      </c>
      <c r="L42" s="77">
        <v>0</v>
      </c>
      <c r="M42" s="3"/>
      <c r="N42" s="5"/>
      <c r="O42" s="1" t="s">
        <v>60</v>
      </c>
      <c r="P42" s="3"/>
      <c r="Q42" s="3"/>
      <c r="R42" s="3"/>
      <c r="S42" s="3"/>
      <c r="T42" s="3"/>
      <c r="U42" s="3"/>
      <c r="V42" s="3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6.5" x14ac:dyDescent="0.3">
      <c r="A43" s="1"/>
      <c r="B43" s="79" t="s">
        <v>61</v>
      </c>
      <c r="C43" s="3"/>
      <c r="D43" s="3"/>
      <c r="E43" s="18"/>
      <c r="F43" s="18"/>
      <c r="G43" s="3"/>
      <c r="H43" s="3"/>
      <c r="I43" s="1"/>
      <c r="J43" s="1"/>
      <c r="K43" s="1"/>
      <c r="L43" s="1"/>
      <c r="M43" s="1"/>
      <c r="N43" s="5"/>
      <c r="O43" s="3"/>
      <c r="P43" s="3"/>
      <c r="Q43" s="3"/>
      <c r="R43" s="3"/>
      <c r="S43" s="3"/>
      <c r="T43" s="3"/>
      <c r="U43" s="3"/>
      <c r="V43" s="3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6.5" x14ac:dyDescent="0.3">
      <c r="A44" s="1"/>
      <c r="B44" s="79" t="s">
        <v>62</v>
      </c>
      <c r="C44" s="80"/>
      <c r="D44" s="80"/>
      <c r="E44" s="80"/>
      <c r="F44" s="80"/>
      <c r="G44" s="80"/>
      <c r="H44" s="3"/>
      <c r="I44" s="1"/>
      <c r="J44" s="1"/>
      <c r="K44" s="1"/>
      <c r="L44" s="1"/>
      <c r="M44" s="1"/>
      <c r="N44" s="5"/>
      <c r="O44" s="3"/>
      <c r="P44" s="3"/>
      <c r="Q44" s="3"/>
      <c r="R44" s="3"/>
      <c r="S44" s="3"/>
      <c r="T44" s="3"/>
      <c r="U44" s="3"/>
      <c r="V44" s="3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6.5" x14ac:dyDescent="0.3">
      <c r="A45" s="1"/>
      <c r="B45" s="79" t="s">
        <v>63</v>
      </c>
      <c r="C45" s="3"/>
      <c r="D45" s="3"/>
      <c r="E45" s="3"/>
      <c r="F45" s="3"/>
      <c r="G45" s="3"/>
      <c r="H45" s="3"/>
      <c r="I45" s="1"/>
      <c r="J45" s="1"/>
      <c r="K45" s="1"/>
      <c r="L45" s="1"/>
      <c r="M45" s="1"/>
      <c r="N45" s="5"/>
      <c r="O45" s="3"/>
      <c r="P45" s="3"/>
      <c r="Q45" s="3"/>
      <c r="R45" s="3"/>
      <c r="S45" s="3"/>
      <c r="T45" s="3"/>
      <c r="U45" s="3"/>
      <c r="V45" s="3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6.5" x14ac:dyDescent="0.3">
      <c r="A46" s="1"/>
      <c r="B46" s="79" t="s">
        <v>64</v>
      </c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5"/>
      <c r="O46" s="1"/>
      <c r="P46" s="3"/>
      <c r="Q46" s="3"/>
      <c r="R46" s="3"/>
      <c r="S46" s="3"/>
      <c r="T46" s="3"/>
      <c r="U46" s="3"/>
      <c r="V46" s="3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7.25" thickBot="1" x14ac:dyDescent="0.35">
      <c r="A47" s="1"/>
      <c r="B47" s="3"/>
      <c r="C47" s="3"/>
      <c r="D47" s="3"/>
      <c r="E47" s="3"/>
      <c r="F47" s="3"/>
      <c r="G47" s="3"/>
      <c r="H47" s="3"/>
      <c r="I47" s="1"/>
      <c r="J47" s="1"/>
      <c r="K47" s="1"/>
      <c r="L47" s="1"/>
      <c r="M47" s="1"/>
      <c r="N47" s="5"/>
      <c r="O47" s="1"/>
      <c r="P47" s="3"/>
      <c r="Q47" s="3"/>
      <c r="R47" s="3"/>
      <c r="S47" s="3"/>
      <c r="T47" s="3"/>
      <c r="U47" s="3"/>
      <c r="V47" s="3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6.25" thickBot="1" x14ac:dyDescent="0.4">
      <c r="A48" s="1"/>
      <c r="B48" s="81" t="s">
        <v>65</v>
      </c>
      <c r="C48" s="3"/>
      <c r="D48" s="18"/>
      <c r="E48" s="63"/>
      <c r="F48" s="82" t="s">
        <v>66</v>
      </c>
      <c r="G48" s="83">
        <f>SUM('Summary Table'!D13:D20)/F9</f>
        <v>0</v>
      </c>
      <c r="H48" s="84" t="s">
        <v>67</v>
      </c>
      <c r="I48" s="344"/>
      <c r="J48" s="359"/>
      <c r="K48" s="1"/>
      <c r="L48" s="1"/>
      <c r="M48" s="1"/>
      <c r="N48" s="5"/>
      <c r="O48" s="1"/>
      <c r="P48" s="3"/>
      <c r="Q48" s="3"/>
      <c r="R48" s="3"/>
      <c r="S48" s="3"/>
      <c r="T48" s="3"/>
      <c r="U48" s="3"/>
      <c r="V48" s="3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8.25" customHeight="1" thickBot="1" x14ac:dyDescent="0.35">
      <c r="A49" s="1"/>
      <c r="B49" s="3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5"/>
      <c r="O49" s="1"/>
      <c r="P49" s="3"/>
      <c r="Q49" s="3"/>
      <c r="R49" s="3"/>
      <c r="S49" s="3"/>
      <c r="T49" s="3"/>
      <c r="U49" s="3"/>
      <c r="V49" s="3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30" customHeight="1" x14ac:dyDescent="0.3">
      <c r="A50" s="1"/>
      <c r="B50" s="85" t="s">
        <v>68</v>
      </c>
      <c r="C50" s="86" t="s">
        <v>69</v>
      </c>
      <c r="D50" s="87" t="s">
        <v>40</v>
      </c>
      <c r="E50" s="86" t="s">
        <v>70</v>
      </c>
      <c r="F50" s="86" t="s">
        <v>70</v>
      </c>
      <c r="G50" s="87" t="s">
        <v>71</v>
      </c>
      <c r="H50" s="88" t="s">
        <v>72</v>
      </c>
      <c r="I50" s="1"/>
      <c r="J50" s="1"/>
      <c r="K50" s="1"/>
      <c r="L50" s="1"/>
      <c r="M50" s="1"/>
      <c r="N50" s="5"/>
      <c r="O50" s="3"/>
      <c r="P50" s="3"/>
      <c r="Q50" s="3"/>
      <c r="R50" s="3"/>
      <c r="S50" s="3"/>
      <c r="T50" s="3"/>
      <c r="U50" s="3"/>
      <c r="V50" s="3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7" customHeight="1" thickBot="1" x14ac:dyDescent="0.35">
      <c r="A51" s="1"/>
      <c r="B51" s="89" t="s">
        <v>73</v>
      </c>
      <c r="C51" s="90"/>
      <c r="D51" s="90"/>
      <c r="E51" s="91" t="s">
        <v>74</v>
      </c>
      <c r="F51" s="91" t="s">
        <v>75</v>
      </c>
      <c r="G51" s="90"/>
      <c r="H51" s="92" t="s">
        <v>76</v>
      </c>
      <c r="I51" s="1"/>
      <c r="J51" s="1"/>
      <c r="K51" s="1"/>
      <c r="L51" s="1"/>
      <c r="M51" s="1"/>
      <c r="N51" s="5"/>
      <c r="O51" s="3" t="s">
        <v>49</v>
      </c>
      <c r="P51" s="3"/>
      <c r="Q51" s="3"/>
      <c r="R51" s="3" t="s">
        <v>77</v>
      </c>
      <c r="S51" s="3"/>
      <c r="T51" s="3"/>
      <c r="U51" s="3"/>
      <c r="V51" s="3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5.75" customHeight="1" x14ac:dyDescent="0.3">
      <c r="A52" s="32"/>
      <c r="B52" s="306"/>
      <c r="C52" s="309" t="s">
        <v>42</v>
      </c>
      <c r="D52" s="93" t="str">
        <f t="shared" ref="D52:D91" si="2">LOOKUP(C52,$B$35:$B$42,$C$35:$C$42)</f>
        <v xml:space="preserve"> - </v>
      </c>
      <c r="E52" s="309"/>
      <c r="F52" s="94">
        <f t="shared" ref="F52:F91" si="3">E52/43560</f>
        <v>0</v>
      </c>
      <c r="G52" s="95" t="str">
        <f t="shared" ref="G52:G91" si="4">IF(ISERROR(INDEX($D$36:$L$42,MATCH(C52,$B$36:$B$42,0),MATCH($F$7,$D$34:$L$34,0))),"-",INDEX($D$36:$L$42,MATCH(C52,$B$36:$B$42,0),MATCH($F$7,$D$34:$L$34,0)))</f>
        <v>-</v>
      </c>
      <c r="H52" s="96" t="str">
        <f t="shared" ref="H52:H91" si="5">IF(E52&gt;0,$F$7/12*G52*E52,"-")</f>
        <v>-</v>
      </c>
      <c r="I52" s="32"/>
      <c r="J52" s="32"/>
      <c r="K52" s="32"/>
      <c r="L52" s="32"/>
      <c r="M52" s="32"/>
      <c r="N52" s="34"/>
      <c r="O52" s="3">
        <f t="shared" ref="O52:O91" si="6">IF(D52="impervious",1,0)</f>
        <v>0</v>
      </c>
      <c r="P52" s="3">
        <f t="shared" ref="P52:P91" si="7">O52*E52</f>
        <v>0</v>
      </c>
      <c r="Q52" s="3"/>
      <c r="R52" s="97">
        <f t="shared" ref="R52:R91" si="8">LEN(B52)</f>
        <v>0</v>
      </c>
      <c r="S52" s="97" t="e">
        <f t="shared" ref="S52:S91" si="9">VALUE(LEFT(B52,Y52))</f>
        <v>#VALUE!</v>
      </c>
      <c r="T52" s="3"/>
      <c r="U52" s="3"/>
      <c r="V52" s="3" t="str">
        <f t="shared" ref="V52:V91" si="10">(RIGHT(B52))</f>
        <v/>
      </c>
      <c r="W52" s="1" t="e">
        <f>CODE(V52)</f>
        <v>#VALUE!</v>
      </c>
      <c r="X52" s="1"/>
      <c r="Y52" s="1" t="e">
        <f t="shared" ref="Y52:Y91" si="11">IF(W52&gt;=97,R52-1,R52)</f>
        <v>#VALUE!</v>
      </c>
      <c r="Z52" s="1"/>
      <c r="AA52" s="1"/>
      <c r="AB52" s="1" t="e">
        <f>E52*#REF!</f>
        <v>#REF!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</row>
    <row r="53" spans="1:43" ht="15.75" customHeight="1" x14ac:dyDescent="0.3">
      <c r="A53" s="1"/>
      <c r="B53" s="307"/>
      <c r="C53" s="310" t="s">
        <v>42</v>
      </c>
      <c r="D53" s="98" t="str">
        <f t="shared" si="2"/>
        <v xml:space="preserve"> - </v>
      </c>
      <c r="E53" s="310"/>
      <c r="F53" s="95">
        <f t="shared" si="3"/>
        <v>0</v>
      </c>
      <c r="G53" s="95" t="str">
        <f t="shared" si="4"/>
        <v>-</v>
      </c>
      <c r="H53" s="99" t="str">
        <f t="shared" si="5"/>
        <v>-</v>
      </c>
      <c r="I53" s="3"/>
      <c r="J53" s="3"/>
      <c r="K53" s="3"/>
      <c r="L53" s="3"/>
      <c r="M53" s="3"/>
      <c r="N53" s="5"/>
      <c r="O53" s="3">
        <f t="shared" si="6"/>
        <v>0</v>
      </c>
      <c r="P53" s="3">
        <f t="shared" si="7"/>
        <v>0</v>
      </c>
      <c r="Q53" s="3"/>
      <c r="R53" s="97">
        <f t="shared" si="8"/>
        <v>0</v>
      </c>
      <c r="S53" s="97" t="e">
        <f t="shared" si="9"/>
        <v>#VALUE!</v>
      </c>
      <c r="T53" s="3"/>
      <c r="U53" s="3"/>
      <c r="V53" s="3" t="str">
        <f t="shared" si="10"/>
        <v/>
      </c>
      <c r="W53" s="1" t="e">
        <f>CODE(V53)</f>
        <v>#VALUE!</v>
      </c>
      <c r="X53" s="1"/>
      <c r="Y53" s="1" t="e">
        <f t="shared" si="11"/>
        <v>#VALUE!</v>
      </c>
      <c r="Z53" s="1"/>
      <c r="AA53" s="1"/>
      <c r="AB53" s="1" t="e">
        <f>E53*#REF!</f>
        <v>#REF!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5.75" customHeight="1" x14ac:dyDescent="0.3">
      <c r="A54" s="1"/>
      <c r="B54" s="307"/>
      <c r="C54" s="310" t="s">
        <v>42</v>
      </c>
      <c r="D54" s="98" t="str">
        <f t="shared" si="2"/>
        <v xml:space="preserve"> - </v>
      </c>
      <c r="E54" s="310"/>
      <c r="F54" s="95">
        <f t="shared" si="3"/>
        <v>0</v>
      </c>
      <c r="G54" s="95" t="str">
        <f t="shared" si="4"/>
        <v>-</v>
      </c>
      <c r="H54" s="99" t="str">
        <f t="shared" si="5"/>
        <v>-</v>
      </c>
      <c r="I54" s="3"/>
      <c r="J54" s="3"/>
      <c r="K54" s="3"/>
      <c r="L54" s="3"/>
      <c r="M54" s="3"/>
      <c r="N54" s="5"/>
      <c r="O54" s="3">
        <f t="shared" si="6"/>
        <v>0</v>
      </c>
      <c r="P54" s="3">
        <f t="shared" si="7"/>
        <v>0</v>
      </c>
      <c r="Q54" s="3"/>
      <c r="R54" s="97">
        <f t="shared" si="8"/>
        <v>0</v>
      </c>
      <c r="S54" s="97" t="e">
        <f t="shared" si="9"/>
        <v>#VALUE!</v>
      </c>
      <c r="T54" s="3"/>
      <c r="U54" s="3"/>
      <c r="V54" s="3" t="str">
        <f t="shared" si="10"/>
        <v/>
      </c>
      <c r="W54" s="1" t="e">
        <f t="shared" ref="W54:W91" si="12">CODE(V54)</f>
        <v>#VALUE!</v>
      </c>
      <c r="X54" s="1"/>
      <c r="Y54" s="1" t="e">
        <f t="shared" si="11"/>
        <v>#VALUE!</v>
      </c>
      <c r="Z54" s="1"/>
      <c r="AA54" s="1"/>
      <c r="AB54" s="1" t="e">
        <f>E54*#REF!</f>
        <v>#REF!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75" customHeight="1" x14ac:dyDescent="0.3">
      <c r="A55" s="1"/>
      <c r="B55" s="307"/>
      <c r="C55" s="310" t="s">
        <v>42</v>
      </c>
      <c r="D55" s="98" t="str">
        <f t="shared" si="2"/>
        <v xml:space="preserve"> - </v>
      </c>
      <c r="E55" s="310"/>
      <c r="F55" s="95">
        <f t="shared" si="3"/>
        <v>0</v>
      </c>
      <c r="G55" s="95" t="str">
        <f t="shared" si="4"/>
        <v>-</v>
      </c>
      <c r="H55" s="99" t="str">
        <f t="shared" si="5"/>
        <v>-</v>
      </c>
      <c r="I55" s="3"/>
      <c r="J55" s="3"/>
      <c r="K55" s="3"/>
      <c r="L55" s="3"/>
      <c r="M55" s="3"/>
      <c r="N55" s="5"/>
      <c r="O55" s="3">
        <f t="shared" si="6"/>
        <v>0</v>
      </c>
      <c r="P55" s="3">
        <f t="shared" si="7"/>
        <v>0</v>
      </c>
      <c r="Q55" s="3"/>
      <c r="R55" s="97">
        <f t="shared" si="8"/>
        <v>0</v>
      </c>
      <c r="S55" s="97" t="e">
        <f t="shared" si="9"/>
        <v>#VALUE!</v>
      </c>
      <c r="T55" s="3"/>
      <c r="U55" s="3"/>
      <c r="V55" s="3" t="str">
        <f t="shared" si="10"/>
        <v/>
      </c>
      <c r="W55" s="1" t="e">
        <f t="shared" si="12"/>
        <v>#VALUE!</v>
      </c>
      <c r="X55" s="1"/>
      <c r="Y55" s="1" t="e">
        <f t="shared" si="11"/>
        <v>#VALUE!</v>
      </c>
      <c r="Z55" s="1"/>
      <c r="AA55" s="1"/>
      <c r="AB55" s="1" t="e">
        <f>E55*#REF!</f>
        <v>#REF!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 x14ac:dyDescent="0.3">
      <c r="A56" s="1"/>
      <c r="B56" s="307"/>
      <c r="C56" s="310" t="s">
        <v>42</v>
      </c>
      <c r="D56" s="98" t="str">
        <f t="shared" si="2"/>
        <v xml:space="preserve"> - </v>
      </c>
      <c r="E56" s="310"/>
      <c r="F56" s="95">
        <f t="shared" si="3"/>
        <v>0</v>
      </c>
      <c r="G56" s="95" t="str">
        <f t="shared" si="4"/>
        <v>-</v>
      </c>
      <c r="H56" s="99" t="str">
        <f t="shared" si="5"/>
        <v>-</v>
      </c>
      <c r="I56" s="3"/>
      <c r="J56" s="3"/>
      <c r="K56" s="3"/>
      <c r="L56" s="3"/>
      <c r="M56" s="3"/>
      <c r="N56" s="5"/>
      <c r="O56" s="3">
        <f t="shared" si="6"/>
        <v>0</v>
      </c>
      <c r="P56" s="3">
        <f t="shared" si="7"/>
        <v>0</v>
      </c>
      <c r="Q56" s="3"/>
      <c r="R56" s="97">
        <f t="shared" si="8"/>
        <v>0</v>
      </c>
      <c r="S56" s="97" t="e">
        <f t="shared" si="9"/>
        <v>#VALUE!</v>
      </c>
      <c r="T56" s="3"/>
      <c r="U56" s="3"/>
      <c r="V56" s="3" t="str">
        <f t="shared" si="10"/>
        <v/>
      </c>
      <c r="W56" s="1" t="e">
        <f t="shared" si="12"/>
        <v>#VALUE!</v>
      </c>
      <c r="X56" s="1"/>
      <c r="Y56" s="1" t="e">
        <f t="shared" si="11"/>
        <v>#VALUE!</v>
      </c>
      <c r="Z56" s="1"/>
      <c r="AA56" s="1"/>
      <c r="AB56" s="1" t="e">
        <f>E56*#REF!</f>
        <v>#REF!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 x14ac:dyDescent="0.3">
      <c r="A57" s="1"/>
      <c r="B57" s="307"/>
      <c r="C57" s="310" t="s">
        <v>42</v>
      </c>
      <c r="D57" s="98" t="str">
        <f t="shared" si="2"/>
        <v xml:space="preserve"> - </v>
      </c>
      <c r="E57" s="310"/>
      <c r="F57" s="95">
        <f t="shared" si="3"/>
        <v>0</v>
      </c>
      <c r="G57" s="95" t="str">
        <f t="shared" si="4"/>
        <v>-</v>
      </c>
      <c r="H57" s="99" t="str">
        <f t="shared" si="5"/>
        <v>-</v>
      </c>
      <c r="I57" s="3"/>
      <c r="J57" s="3"/>
      <c r="K57" s="3"/>
      <c r="L57" s="3"/>
      <c r="M57" s="3"/>
      <c r="N57" s="5"/>
      <c r="O57" s="3">
        <f t="shared" si="6"/>
        <v>0</v>
      </c>
      <c r="P57" s="3">
        <f t="shared" si="7"/>
        <v>0</v>
      </c>
      <c r="Q57" s="3"/>
      <c r="R57" s="97">
        <f t="shared" si="8"/>
        <v>0</v>
      </c>
      <c r="S57" s="97" t="e">
        <f t="shared" si="9"/>
        <v>#VALUE!</v>
      </c>
      <c r="T57" s="3"/>
      <c r="U57" s="3"/>
      <c r="V57" s="3" t="str">
        <f t="shared" si="10"/>
        <v/>
      </c>
      <c r="W57" s="1" t="e">
        <f t="shared" si="12"/>
        <v>#VALUE!</v>
      </c>
      <c r="X57" s="1"/>
      <c r="Y57" s="1" t="e">
        <f t="shared" si="11"/>
        <v>#VALUE!</v>
      </c>
      <c r="Z57" s="1"/>
      <c r="AA57" s="1"/>
      <c r="AB57" s="1" t="e">
        <f>E57*#REF!</f>
        <v>#REF!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 x14ac:dyDescent="0.3">
      <c r="A58" s="1"/>
      <c r="B58" s="307"/>
      <c r="C58" s="310" t="s">
        <v>42</v>
      </c>
      <c r="D58" s="98" t="str">
        <f t="shared" si="2"/>
        <v xml:space="preserve"> - </v>
      </c>
      <c r="E58" s="310"/>
      <c r="F58" s="95">
        <f t="shared" si="3"/>
        <v>0</v>
      </c>
      <c r="G58" s="95" t="str">
        <f t="shared" si="4"/>
        <v>-</v>
      </c>
      <c r="H58" s="99" t="str">
        <f t="shared" si="5"/>
        <v>-</v>
      </c>
      <c r="I58" s="3"/>
      <c r="J58" s="3"/>
      <c r="K58" s="3"/>
      <c r="L58" s="3"/>
      <c r="M58" s="3"/>
      <c r="N58" s="5"/>
      <c r="O58" s="3">
        <f t="shared" si="6"/>
        <v>0</v>
      </c>
      <c r="P58" s="3">
        <f t="shared" si="7"/>
        <v>0</v>
      </c>
      <c r="Q58" s="3"/>
      <c r="R58" s="97">
        <f t="shared" si="8"/>
        <v>0</v>
      </c>
      <c r="S58" s="97" t="e">
        <f t="shared" si="9"/>
        <v>#VALUE!</v>
      </c>
      <c r="T58" s="3"/>
      <c r="U58" s="3"/>
      <c r="V58" s="3" t="str">
        <f t="shared" si="10"/>
        <v/>
      </c>
      <c r="W58" s="1" t="e">
        <f t="shared" si="12"/>
        <v>#VALUE!</v>
      </c>
      <c r="X58" s="1"/>
      <c r="Y58" s="1" t="e">
        <f t="shared" si="11"/>
        <v>#VALUE!</v>
      </c>
      <c r="Z58" s="1"/>
      <c r="AA58" s="1"/>
      <c r="AB58" s="1" t="e">
        <f>E58*#REF!</f>
        <v>#REF!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 x14ac:dyDescent="0.3">
      <c r="A59" s="1"/>
      <c r="B59" s="307"/>
      <c r="C59" s="310" t="s">
        <v>42</v>
      </c>
      <c r="D59" s="98" t="str">
        <f t="shared" si="2"/>
        <v xml:space="preserve"> - </v>
      </c>
      <c r="E59" s="310"/>
      <c r="F59" s="95">
        <f t="shared" si="3"/>
        <v>0</v>
      </c>
      <c r="G59" s="95" t="str">
        <f t="shared" si="4"/>
        <v>-</v>
      </c>
      <c r="H59" s="99" t="str">
        <f t="shared" si="5"/>
        <v>-</v>
      </c>
      <c r="I59" s="3"/>
      <c r="J59" s="3"/>
      <c r="K59" s="3"/>
      <c r="L59" s="3"/>
      <c r="M59" s="3"/>
      <c r="N59" s="5"/>
      <c r="O59" s="3">
        <f t="shared" si="6"/>
        <v>0</v>
      </c>
      <c r="P59" s="3">
        <f t="shared" si="7"/>
        <v>0</v>
      </c>
      <c r="Q59" s="3"/>
      <c r="R59" s="97">
        <f t="shared" si="8"/>
        <v>0</v>
      </c>
      <c r="S59" s="97" t="e">
        <f t="shared" si="9"/>
        <v>#VALUE!</v>
      </c>
      <c r="T59" s="3"/>
      <c r="U59" s="3"/>
      <c r="V59" s="3" t="str">
        <f t="shared" si="10"/>
        <v/>
      </c>
      <c r="W59" s="1" t="e">
        <f t="shared" si="12"/>
        <v>#VALUE!</v>
      </c>
      <c r="X59" s="1"/>
      <c r="Y59" s="1" t="e">
        <f t="shared" si="11"/>
        <v>#VALUE!</v>
      </c>
      <c r="Z59" s="1"/>
      <c r="AA59" s="1"/>
      <c r="AB59" s="1" t="e">
        <f>E59*#REF!</f>
        <v>#REF!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 x14ac:dyDescent="0.3">
      <c r="A60" s="1"/>
      <c r="B60" s="307"/>
      <c r="C60" s="310" t="s">
        <v>42</v>
      </c>
      <c r="D60" s="98" t="str">
        <f t="shared" si="2"/>
        <v xml:space="preserve"> - </v>
      </c>
      <c r="E60" s="310"/>
      <c r="F60" s="95">
        <f t="shared" si="3"/>
        <v>0</v>
      </c>
      <c r="G60" s="95" t="str">
        <f t="shared" si="4"/>
        <v>-</v>
      </c>
      <c r="H60" s="99" t="str">
        <f t="shared" si="5"/>
        <v>-</v>
      </c>
      <c r="I60" s="3"/>
      <c r="J60" s="3"/>
      <c r="K60" s="3"/>
      <c r="L60" s="3"/>
      <c r="M60" s="3"/>
      <c r="N60" s="5"/>
      <c r="O60" s="3">
        <f t="shared" si="6"/>
        <v>0</v>
      </c>
      <c r="P60" s="3">
        <f t="shared" si="7"/>
        <v>0</v>
      </c>
      <c r="Q60" s="3"/>
      <c r="R60" s="97">
        <f t="shared" si="8"/>
        <v>0</v>
      </c>
      <c r="S60" s="97" t="e">
        <f t="shared" si="9"/>
        <v>#VALUE!</v>
      </c>
      <c r="T60" s="3"/>
      <c r="U60" s="3"/>
      <c r="V60" s="3" t="str">
        <f t="shared" si="10"/>
        <v/>
      </c>
      <c r="W60" s="1" t="e">
        <f t="shared" si="12"/>
        <v>#VALUE!</v>
      </c>
      <c r="X60" s="1"/>
      <c r="Y60" s="1" t="e">
        <f t="shared" si="11"/>
        <v>#VALUE!</v>
      </c>
      <c r="Z60" s="1"/>
      <c r="AA60" s="1"/>
      <c r="AB60" s="1" t="e">
        <f>E60*#REF!</f>
        <v>#REF!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 x14ac:dyDescent="0.3">
      <c r="A61" s="1"/>
      <c r="B61" s="307"/>
      <c r="C61" s="310" t="s">
        <v>42</v>
      </c>
      <c r="D61" s="98" t="str">
        <f t="shared" si="2"/>
        <v xml:space="preserve"> - </v>
      </c>
      <c r="E61" s="310"/>
      <c r="F61" s="95">
        <f t="shared" si="3"/>
        <v>0</v>
      </c>
      <c r="G61" s="95" t="str">
        <f t="shared" si="4"/>
        <v>-</v>
      </c>
      <c r="H61" s="99" t="str">
        <f t="shared" si="5"/>
        <v>-</v>
      </c>
      <c r="I61" s="3"/>
      <c r="J61" s="3"/>
      <c r="K61" s="3"/>
      <c r="L61" s="3"/>
      <c r="M61" s="3"/>
      <c r="N61" s="5"/>
      <c r="O61" s="3">
        <f t="shared" si="6"/>
        <v>0</v>
      </c>
      <c r="P61" s="3">
        <f t="shared" si="7"/>
        <v>0</v>
      </c>
      <c r="Q61" s="3"/>
      <c r="R61" s="97">
        <f t="shared" si="8"/>
        <v>0</v>
      </c>
      <c r="S61" s="97" t="e">
        <f t="shared" si="9"/>
        <v>#VALUE!</v>
      </c>
      <c r="T61" s="3"/>
      <c r="U61" s="3"/>
      <c r="V61" s="3" t="str">
        <f t="shared" si="10"/>
        <v/>
      </c>
      <c r="W61" s="1" t="e">
        <f t="shared" si="12"/>
        <v>#VALUE!</v>
      </c>
      <c r="X61" s="1"/>
      <c r="Y61" s="1" t="e">
        <f t="shared" si="11"/>
        <v>#VALUE!</v>
      </c>
      <c r="Z61" s="1"/>
      <c r="AA61" s="1"/>
      <c r="AB61" s="1" t="e">
        <f>E61*#REF!</f>
        <v>#REF!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 x14ac:dyDescent="0.3">
      <c r="A62" s="1"/>
      <c r="B62" s="307"/>
      <c r="C62" s="310" t="s">
        <v>42</v>
      </c>
      <c r="D62" s="98" t="str">
        <f t="shared" si="2"/>
        <v xml:space="preserve"> - </v>
      </c>
      <c r="E62" s="310"/>
      <c r="F62" s="95">
        <f t="shared" si="3"/>
        <v>0</v>
      </c>
      <c r="G62" s="95" t="str">
        <f t="shared" si="4"/>
        <v>-</v>
      </c>
      <c r="H62" s="99" t="str">
        <f t="shared" si="5"/>
        <v>-</v>
      </c>
      <c r="I62" s="3"/>
      <c r="J62" s="3"/>
      <c r="K62" s="3"/>
      <c r="L62" s="3"/>
      <c r="M62" s="3"/>
      <c r="N62" s="5"/>
      <c r="O62" s="3">
        <f t="shared" si="6"/>
        <v>0</v>
      </c>
      <c r="P62" s="3">
        <f t="shared" si="7"/>
        <v>0</v>
      </c>
      <c r="Q62" s="3"/>
      <c r="R62" s="97">
        <f t="shared" si="8"/>
        <v>0</v>
      </c>
      <c r="S62" s="97" t="e">
        <f t="shared" si="9"/>
        <v>#VALUE!</v>
      </c>
      <c r="T62" s="3"/>
      <c r="U62" s="3"/>
      <c r="V62" s="3" t="str">
        <f t="shared" si="10"/>
        <v/>
      </c>
      <c r="W62" s="1" t="e">
        <f t="shared" si="12"/>
        <v>#VALUE!</v>
      </c>
      <c r="X62" s="1"/>
      <c r="Y62" s="1" t="e">
        <f t="shared" si="11"/>
        <v>#VALUE!</v>
      </c>
      <c r="Z62" s="1"/>
      <c r="AA62" s="1"/>
      <c r="AB62" s="1" t="e">
        <f>E62*#REF!</f>
        <v>#REF!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 x14ac:dyDescent="0.3">
      <c r="A63" s="1"/>
      <c r="B63" s="308"/>
      <c r="C63" s="155" t="s">
        <v>42</v>
      </c>
      <c r="D63" s="98" t="str">
        <f t="shared" si="2"/>
        <v xml:space="preserve"> - </v>
      </c>
      <c r="E63" s="155"/>
      <c r="F63" s="95">
        <f t="shared" si="3"/>
        <v>0</v>
      </c>
      <c r="G63" s="95" t="str">
        <f t="shared" si="4"/>
        <v>-</v>
      </c>
      <c r="H63" s="99" t="str">
        <f t="shared" si="5"/>
        <v>-</v>
      </c>
      <c r="I63" s="3"/>
      <c r="J63" s="3"/>
      <c r="K63" s="3"/>
      <c r="L63" s="3"/>
      <c r="M63" s="3"/>
      <c r="N63" s="5"/>
      <c r="O63" s="3">
        <f t="shared" si="6"/>
        <v>0</v>
      </c>
      <c r="P63" s="3">
        <f t="shared" si="7"/>
        <v>0</v>
      </c>
      <c r="Q63" s="3"/>
      <c r="R63" s="97">
        <f t="shared" si="8"/>
        <v>0</v>
      </c>
      <c r="S63" s="97" t="e">
        <f t="shared" si="9"/>
        <v>#VALUE!</v>
      </c>
      <c r="T63" s="3"/>
      <c r="U63" s="3"/>
      <c r="V63" s="3" t="str">
        <f t="shared" si="10"/>
        <v/>
      </c>
      <c r="W63" s="1" t="e">
        <f t="shared" si="12"/>
        <v>#VALUE!</v>
      </c>
      <c r="X63" s="1"/>
      <c r="Y63" s="1" t="e">
        <f t="shared" si="11"/>
        <v>#VALUE!</v>
      </c>
      <c r="Z63" s="1"/>
      <c r="AA63" s="1"/>
      <c r="AB63" s="1" t="e">
        <f>E63*#REF!</f>
        <v>#REF!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 x14ac:dyDescent="0.3">
      <c r="A64" s="1"/>
      <c r="B64" s="308"/>
      <c r="C64" s="155" t="s">
        <v>42</v>
      </c>
      <c r="D64" s="98" t="str">
        <f t="shared" si="2"/>
        <v xml:space="preserve"> - </v>
      </c>
      <c r="E64" s="155"/>
      <c r="F64" s="95">
        <f t="shared" si="3"/>
        <v>0</v>
      </c>
      <c r="G64" s="95" t="str">
        <f t="shared" si="4"/>
        <v>-</v>
      </c>
      <c r="H64" s="99" t="str">
        <f t="shared" si="5"/>
        <v>-</v>
      </c>
      <c r="I64" s="3"/>
      <c r="J64" s="3"/>
      <c r="K64" s="3"/>
      <c r="L64" s="3"/>
      <c r="M64" s="3"/>
      <c r="N64" s="5"/>
      <c r="O64" s="3">
        <f t="shared" si="6"/>
        <v>0</v>
      </c>
      <c r="P64" s="3">
        <f t="shared" si="7"/>
        <v>0</v>
      </c>
      <c r="Q64" s="3"/>
      <c r="R64" s="97">
        <f t="shared" si="8"/>
        <v>0</v>
      </c>
      <c r="S64" s="97" t="e">
        <f t="shared" si="9"/>
        <v>#VALUE!</v>
      </c>
      <c r="T64" s="3"/>
      <c r="U64" s="3"/>
      <c r="V64" s="3" t="str">
        <f t="shared" si="10"/>
        <v/>
      </c>
      <c r="W64" s="1" t="e">
        <f t="shared" si="12"/>
        <v>#VALUE!</v>
      </c>
      <c r="X64" s="1"/>
      <c r="Y64" s="1" t="e">
        <f t="shared" si="11"/>
        <v>#VALUE!</v>
      </c>
      <c r="Z64" s="1"/>
      <c r="AA64" s="1"/>
      <c r="AB64" s="1" t="e">
        <f>E64*#REF!</f>
        <v>#REF!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 x14ac:dyDescent="0.3">
      <c r="A65" s="1"/>
      <c r="B65" s="308"/>
      <c r="C65" s="155" t="s">
        <v>42</v>
      </c>
      <c r="D65" s="98" t="str">
        <f t="shared" si="2"/>
        <v xml:space="preserve"> - </v>
      </c>
      <c r="E65" s="155"/>
      <c r="F65" s="95">
        <f t="shared" si="3"/>
        <v>0</v>
      </c>
      <c r="G65" s="95" t="str">
        <f t="shared" si="4"/>
        <v>-</v>
      </c>
      <c r="H65" s="99" t="str">
        <f t="shared" si="5"/>
        <v>-</v>
      </c>
      <c r="I65" s="3"/>
      <c r="J65" s="3"/>
      <c r="K65" s="3"/>
      <c r="L65" s="3"/>
      <c r="M65" s="3"/>
      <c r="N65" s="5"/>
      <c r="O65" s="3">
        <f t="shared" si="6"/>
        <v>0</v>
      </c>
      <c r="P65" s="3">
        <f t="shared" si="7"/>
        <v>0</v>
      </c>
      <c r="Q65" s="3"/>
      <c r="R65" s="97">
        <f t="shared" si="8"/>
        <v>0</v>
      </c>
      <c r="S65" s="97" t="e">
        <f t="shared" si="9"/>
        <v>#VALUE!</v>
      </c>
      <c r="T65" s="3"/>
      <c r="U65" s="3"/>
      <c r="V65" s="3" t="str">
        <f t="shared" si="10"/>
        <v/>
      </c>
      <c r="W65" s="1" t="e">
        <f t="shared" si="12"/>
        <v>#VALUE!</v>
      </c>
      <c r="X65" s="1"/>
      <c r="Y65" s="1" t="e">
        <f t="shared" si="11"/>
        <v>#VALUE!</v>
      </c>
      <c r="Z65" s="1"/>
      <c r="AA65" s="1"/>
      <c r="AB65" s="1" t="e">
        <f>E65*#REF!</f>
        <v>#REF!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 x14ac:dyDescent="0.3">
      <c r="A66" s="1"/>
      <c r="B66" s="308"/>
      <c r="C66" s="155" t="s">
        <v>42</v>
      </c>
      <c r="D66" s="98" t="str">
        <f t="shared" si="2"/>
        <v xml:space="preserve"> - </v>
      </c>
      <c r="E66" s="155"/>
      <c r="F66" s="95">
        <f t="shared" si="3"/>
        <v>0</v>
      </c>
      <c r="G66" s="95" t="str">
        <f t="shared" si="4"/>
        <v>-</v>
      </c>
      <c r="H66" s="99" t="str">
        <f t="shared" si="5"/>
        <v>-</v>
      </c>
      <c r="I66" s="3"/>
      <c r="J66" s="3"/>
      <c r="K66" s="3"/>
      <c r="L66" s="3"/>
      <c r="M66" s="3"/>
      <c r="N66" s="5"/>
      <c r="O66" s="3">
        <f t="shared" si="6"/>
        <v>0</v>
      </c>
      <c r="P66" s="3">
        <f t="shared" si="7"/>
        <v>0</v>
      </c>
      <c r="Q66" s="3"/>
      <c r="R66" s="97">
        <f t="shared" si="8"/>
        <v>0</v>
      </c>
      <c r="S66" s="97" t="e">
        <f t="shared" si="9"/>
        <v>#VALUE!</v>
      </c>
      <c r="T66" s="3"/>
      <c r="U66" s="3"/>
      <c r="V66" s="3" t="str">
        <f t="shared" si="10"/>
        <v/>
      </c>
      <c r="W66" s="1" t="e">
        <f t="shared" si="12"/>
        <v>#VALUE!</v>
      </c>
      <c r="X66" s="1"/>
      <c r="Y66" s="1" t="e">
        <f t="shared" si="11"/>
        <v>#VALUE!</v>
      </c>
      <c r="Z66" s="1"/>
      <c r="AA66" s="1"/>
      <c r="AB66" s="1" t="e">
        <f>E66*#REF!</f>
        <v>#REF!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 x14ac:dyDescent="0.3">
      <c r="A67" s="1"/>
      <c r="B67" s="308"/>
      <c r="C67" s="155" t="s">
        <v>42</v>
      </c>
      <c r="D67" s="98" t="str">
        <f t="shared" si="2"/>
        <v xml:space="preserve"> - </v>
      </c>
      <c r="E67" s="155"/>
      <c r="F67" s="95">
        <f t="shared" si="3"/>
        <v>0</v>
      </c>
      <c r="G67" s="95" t="str">
        <f t="shared" si="4"/>
        <v>-</v>
      </c>
      <c r="H67" s="99" t="str">
        <f t="shared" si="5"/>
        <v>-</v>
      </c>
      <c r="I67" s="3"/>
      <c r="J67" s="3"/>
      <c r="K67" s="3"/>
      <c r="L67" s="3"/>
      <c r="M67" s="3"/>
      <c r="N67" s="5"/>
      <c r="O67" s="3">
        <f t="shared" si="6"/>
        <v>0</v>
      </c>
      <c r="P67" s="3">
        <f t="shared" si="7"/>
        <v>0</v>
      </c>
      <c r="Q67" s="3"/>
      <c r="R67" s="97">
        <f t="shared" si="8"/>
        <v>0</v>
      </c>
      <c r="S67" s="97" t="e">
        <f t="shared" si="9"/>
        <v>#VALUE!</v>
      </c>
      <c r="T67" s="3"/>
      <c r="U67" s="3"/>
      <c r="V67" s="3" t="str">
        <f t="shared" si="10"/>
        <v/>
      </c>
      <c r="W67" s="1" t="e">
        <f t="shared" si="12"/>
        <v>#VALUE!</v>
      </c>
      <c r="X67" s="1"/>
      <c r="Y67" s="1" t="e">
        <f t="shared" si="11"/>
        <v>#VALUE!</v>
      </c>
      <c r="Z67" s="1"/>
      <c r="AA67" s="1"/>
      <c r="AB67" s="1" t="e">
        <f>E67*#REF!</f>
        <v>#REF!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 x14ac:dyDescent="0.3">
      <c r="A68" s="1"/>
      <c r="B68" s="308"/>
      <c r="C68" s="155" t="s">
        <v>42</v>
      </c>
      <c r="D68" s="98" t="str">
        <f t="shared" si="2"/>
        <v xml:space="preserve"> - </v>
      </c>
      <c r="E68" s="155"/>
      <c r="F68" s="95">
        <f t="shared" si="3"/>
        <v>0</v>
      </c>
      <c r="G68" s="95" t="str">
        <f t="shared" si="4"/>
        <v>-</v>
      </c>
      <c r="H68" s="99" t="str">
        <f t="shared" si="5"/>
        <v>-</v>
      </c>
      <c r="I68" s="3"/>
      <c r="J68" s="3"/>
      <c r="K68" s="3"/>
      <c r="L68" s="3"/>
      <c r="M68" s="3"/>
      <c r="N68" s="5"/>
      <c r="O68" s="3">
        <f t="shared" si="6"/>
        <v>0</v>
      </c>
      <c r="P68" s="3">
        <f t="shared" si="7"/>
        <v>0</v>
      </c>
      <c r="Q68" s="3"/>
      <c r="R68" s="97">
        <f t="shared" si="8"/>
        <v>0</v>
      </c>
      <c r="S68" s="97" t="e">
        <f t="shared" si="9"/>
        <v>#VALUE!</v>
      </c>
      <c r="T68" s="3"/>
      <c r="U68" s="3"/>
      <c r="V68" s="3" t="str">
        <f t="shared" si="10"/>
        <v/>
      </c>
      <c r="W68" s="1" t="e">
        <f t="shared" si="12"/>
        <v>#VALUE!</v>
      </c>
      <c r="X68" s="1"/>
      <c r="Y68" s="1" t="e">
        <f t="shared" si="11"/>
        <v>#VALUE!</v>
      </c>
      <c r="Z68" s="1"/>
      <c r="AA68" s="1"/>
      <c r="AB68" s="1" t="e">
        <f>E68*#REF!</f>
        <v>#REF!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 x14ac:dyDescent="0.3">
      <c r="A69" s="1"/>
      <c r="B69" s="308"/>
      <c r="C69" s="155" t="s">
        <v>42</v>
      </c>
      <c r="D69" s="98" t="str">
        <f t="shared" si="2"/>
        <v xml:space="preserve"> - </v>
      </c>
      <c r="E69" s="155"/>
      <c r="F69" s="95">
        <f t="shared" si="3"/>
        <v>0</v>
      </c>
      <c r="G69" s="95" t="str">
        <f t="shared" si="4"/>
        <v>-</v>
      </c>
      <c r="H69" s="99" t="str">
        <f t="shared" si="5"/>
        <v>-</v>
      </c>
      <c r="I69" s="3"/>
      <c r="J69" s="3"/>
      <c r="K69" s="3"/>
      <c r="L69" s="3"/>
      <c r="M69" s="3"/>
      <c r="N69" s="5"/>
      <c r="O69" s="3">
        <f t="shared" si="6"/>
        <v>0</v>
      </c>
      <c r="P69" s="3">
        <f t="shared" si="7"/>
        <v>0</v>
      </c>
      <c r="Q69" s="3"/>
      <c r="R69" s="97">
        <f t="shared" si="8"/>
        <v>0</v>
      </c>
      <c r="S69" s="97" t="e">
        <f t="shared" si="9"/>
        <v>#VALUE!</v>
      </c>
      <c r="T69" s="3"/>
      <c r="U69" s="3"/>
      <c r="V69" s="3" t="str">
        <f t="shared" si="10"/>
        <v/>
      </c>
      <c r="W69" s="1" t="e">
        <f t="shared" si="12"/>
        <v>#VALUE!</v>
      </c>
      <c r="X69" s="1"/>
      <c r="Y69" s="1" t="e">
        <f t="shared" si="11"/>
        <v>#VALUE!</v>
      </c>
      <c r="Z69" s="1"/>
      <c r="AA69" s="1"/>
      <c r="AB69" s="1" t="e">
        <f>E69*#REF!</f>
        <v>#REF!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 x14ac:dyDescent="0.3">
      <c r="A70" s="1"/>
      <c r="B70" s="308"/>
      <c r="C70" s="155" t="s">
        <v>42</v>
      </c>
      <c r="D70" s="98" t="str">
        <f t="shared" si="2"/>
        <v xml:space="preserve"> - </v>
      </c>
      <c r="E70" s="155"/>
      <c r="F70" s="95">
        <f t="shared" si="3"/>
        <v>0</v>
      </c>
      <c r="G70" s="95" t="str">
        <f t="shared" si="4"/>
        <v>-</v>
      </c>
      <c r="H70" s="99" t="str">
        <f t="shared" si="5"/>
        <v>-</v>
      </c>
      <c r="I70" s="3"/>
      <c r="J70" s="3"/>
      <c r="K70" s="3"/>
      <c r="L70" s="3"/>
      <c r="M70" s="3"/>
      <c r="N70" s="5"/>
      <c r="O70" s="3">
        <f t="shared" si="6"/>
        <v>0</v>
      </c>
      <c r="P70" s="3">
        <f t="shared" si="7"/>
        <v>0</v>
      </c>
      <c r="Q70" s="3"/>
      <c r="R70" s="97">
        <f t="shared" si="8"/>
        <v>0</v>
      </c>
      <c r="S70" s="97" t="e">
        <f t="shared" si="9"/>
        <v>#VALUE!</v>
      </c>
      <c r="T70" s="3"/>
      <c r="U70" s="3"/>
      <c r="V70" s="3" t="str">
        <f t="shared" si="10"/>
        <v/>
      </c>
      <c r="W70" s="1" t="e">
        <f t="shared" si="12"/>
        <v>#VALUE!</v>
      </c>
      <c r="X70" s="1"/>
      <c r="Y70" s="1" t="e">
        <f t="shared" si="11"/>
        <v>#VALUE!</v>
      </c>
      <c r="Z70" s="1"/>
      <c r="AA70" s="1"/>
      <c r="AB70" s="1" t="e">
        <f>E70*#REF!</f>
        <v>#REF!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 x14ac:dyDescent="0.3">
      <c r="A71" s="1"/>
      <c r="B71" s="308"/>
      <c r="C71" s="155" t="s">
        <v>42</v>
      </c>
      <c r="D71" s="98" t="str">
        <f t="shared" si="2"/>
        <v xml:space="preserve"> - </v>
      </c>
      <c r="E71" s="155"/>
      <c r="F71" s="95">
        <f t="shared" si="3"/>
        <v>0</v>
      </c>
      <c r="G71" s="95" t="str">
        <f t="shared" si="4"/>
        <v>-</v>
      </c>
      <c r="H71" s="99" t="str">
        <f t="shared" si="5"/>
        <v>-</v>
      </c>
      <c r="I71" s="3"/>
      <c r="J71" s="3"/>
      <c r="K71" s="3"/>
      <c r="L71" s="3"/>
      <c r="M71" s="3"/>
      <c r="N71" s="5"/>
      <c r="O71" s="3">
        <f t="shared" si="6"/>
        <v>0</v>
      </c>
      <c r="P71" s="3">
        <f t="shared" si="7"/>
        <v>0</v>
      </c>
      <c r="Q71" s="3"/>
      <c r="R71" s="97">
        <f t="shared" si="8"/>
        <v>0</v>
      </c>
      <c r="S71" s="97" t="e">
        <f t="shared" si="9"/>
        <v>#VALUE!</v>
      </c>
      <c r="T71" s="3"/>
      <c r="U71" s="3"/>
      <c r="V71" s="3" t="str">
        <f t="shared" si="10"/>
        <v/>
      </c>
      <c r="W71" s="1" t="e">
        <f t="shared" si="12"/>
        <v>#VALUE!</v>
      </c>
      <c r="X71" s="1"/>
      <c r="Y71" s="1" t="e">
        <f t="shared" si="11"/>
        <v>#VALUE!</v>
      </c>
      <c r="Z71" s="1"/>
      <c r="AA71" s="1"/>
      <c r="AB71" s="1" t="e">
        <f>E71*#REF!</f>
        <v>#REF!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 x14ac:dyDescent="0.3">
      <c r="A72" s="1"/>
      <c r="B72" s="308"/>
      <c r="C72" s="155" t="s">
        <v>42</v>
      </c>
      <c r="D72" s="98" t="str">
        <f t="shared" si="2"/>
        <v xml:space="preserve"> - </v>
      </c>
      <c r="E72" s="155"/>
      <c r="F72" s="95">
        <f t="shared" si="3"/>
        <v>0</v>
      </c>
      <c r="G72" s="95" t="str">
        <f t="shared" si="4"/>
        <v>-</v>
      </c>
      <c r="H72" s="99" t="str">
        <f t="shared" si="5"/>
        <v>-</v>
      </c>
      <c r="I72" s="3"/>
      <c r="J72" s="3"/>
      <c r="K72" s="3"/>
      <c r="L72" s="3"/>
      <c r="M72" s="3"/>
      <c r="N72" s="5"/>
      <c r="O72" s="3">
        <f t="shared" si="6"/>
        <v>0</v>
      </c>
      <c r="P72" s="3">
        <f t="shared" si="7"/>
        <v>0</v>
      </c>
      <c r="Q72" s="3"/>
      <c r="R72" s="97">
        <f t="shared" si="8"/>
        <v>0</v>
      </c>
      <c r="S72" s="97" t="e">
        <f t="shared" si="9"/>
        <v>#VALUE!</v>
      </c>
      <c r="T72" s="3"/>
      <c r="U72" s="3"/>
      <c r="V72" s="3" t="str">
        <f t="shared" si="10"/>
        <v/>
      </c>
      <c r="W72" s="1" t="e">
        <f t="shared" si="12"/>
        <v>#VALUE!</v>
      </c>
      <c r="X72" s="1"/>
      <c r="Y72" s="1" t="e">
        <f t="shared" si="11"/>
        <v>#VALUE!</v>
      </c>
      <c r="Z72" s="1"/>
      <c r="AA72" s="1"/>
      <c r="AB72" s="1" t="e">
        <f>E72*#REF!</f>
        <v>#REF!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 x14ac:dyDescent="0.3">
      <c r="A73" s="1"/>
      <c r="B73" s="308"/>
      <c r="C73" s="155" t="s">
        <v>42</v>
      </c>
      <c r="D73" s="98" t="str">
        <f t="shared" si="2"/>
        <v xml:space="preserve"> - </v>
      </c>
      <c r="E73" s="155"/>
      <c r="F73" s="95">
        <f t="shared" si="3"/>
        <v>0</v>
      </c>
      <c r="G73" s="95" t="str">
        <f t="shared" si="4"/>
        <v>-</v>
      </c>
      <c r="H73" s="99" t="str">
        <f t="shared" si="5"/>
        <v>-</v>
      </c>
      <c r="I73" s="3"/>
      <c r="J73" s="3"/>
      <c r="K73" s="3"/>
      <c r="L73" s="3"/>
      <c r="M73" s="3"/>
      <c r="N73" s="5"/>
      <c r="O73" s="3">
        <f t="shared" si="6"/>
        <v>0</v>
      </c>
      <c r="P73" s="3">
        <f t="shared" si="7"/>
        <v>0</v>
      </c>
      <c r="Q73" s="3"/>
      <c r="R73" s="97">
        <f t="shared" si="8"/>
        <v>0</v>
      </c>
      <c r="S73" s="97" t="e">
        <f t="shared" si="9"/>
        <v>#VALUE!</v>
      </c>
      <c r="T73" s="3"/>
      <c r="U73" s="3"/>
      <c r="V73" s="3" t="str">
        <f t="shared" si="10"/>
        <v/>
      </c>
      <c r="W73" s="1" t="e">
        <f t="shared" si="12"/>
        <v>#VALUE!</v>
      </c>
      <c r="X73" s="1"/>
      <c r="Y73" s="1" t="e">
        <f t="shared" si="11"/>
        <v>#VALUE!</v>
      </c>
      <c r="Z73" s="1"/>
      <c r="AA73" s="1"/>
      <c r="AB73" s="1" t="e">
        <f>E73*#REF!</f>
        <v>#REF!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 x14ac:dyDescent="0.3">
      <c r="A74" s="1"/>
      <c r="B74" s="308"/>
      <c r="C74" s="155" t="s">
        <v>42</v>
      </c>
      <c r="D74" s="98" t="str">
        <f t="shared" si="2"/>
        <v xml:space="preserve"> - </v>
      </c>
      <c r="E74" s="155"/>
      <c r="F74" s="95">
        <f t="shared" si="3"/>
        <v>0</v>
      </c>
      <c r="G74" s="95" t="str">
        <f t="shared" si="4"/>
        <v>-</v>
      </c>
      <c r="H74" s="99" t="str">
        <f t="shared" si="5"/>
        <v>-</v>
      </c>
      <c r="I74" s="3"/>
      <c r="J74" s="3"/>
      <c r="K74" s="3"/>
      <c r="L74" s="3"/>
      <c r="M74" s="3"/>
      <c r="N74" s="5"/>
      <c r="O74" s="3">
        <f t="shared" si="6"/>
        <v>0</v>
      </c>
      <c r="P74" s="3">
        <f t="shared" si="7"/>
        <v>0</v>
      </c>
      <c r="Q74" s="3"/>
      <c r="R74" s="97">
        <f t="shared" si="8"/>
        <v>0</v>
      </c>
      <c r="S74" s="97" t="e">
        <f t="shared" si="9"/>
        <v>#VALUE!</v>
      </c>
      <c r="T74" s="3"/>
      <c r="U74" s="3"/>
      <c r="V74" s="3" t="str">
        <f t="shared" si="10"/>
        <v/>
      </c>
      <c r="W74" s="1" t="e">
        <f t="shared" si="12"/>
        <v>#VALUE!</v>
      </c>
      <c r="X74" s="1"/>
      <c r="Y74" s="1" t="e">
        <f t="shared" si="11"/>
        <v>#VALUE!</v>
      </c>
      <c r="Z74" s="1"/>
      <c r="AA74" s="1"/>
      <c r="AB74" s="1" t="e">
        <f>E74*#REF!</f>
        <v>#REF!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 x14ac:dyDescent="0.3">
      <c r="A75" s="1"/>
      <c r="B75" s="308"/>
      <c r="C75" s="155" t="s">
        <v>42</v>
      </c>
      <c r="D75" s="98" t="str">
        <f t="shared" si="2"/>
        <v xml:space="preserve"> - </v>
      </c>
      <c r="E75" s="155"/>
      <c r="F75" s="95">
        <f t="shared" si="3"/>
        <v>0</v>
      </c>
      <c r="G75" s="95" t="str">
        <f t="shared" si="4"/>
        <v>-</v>
      </c>
      <c r="H75" s="99" t="str">
        <f t="shared" si="5"/>
        <v>-</v>
      </c>
      <c r="I75" s="3"/>
      <c r="J75" s="3"/>
      <c r="K75" s="3"/>
      <c r="L75" s="3"/>
      <c r="M75" s="3"/>
      <c r="N75" s="5"/>
      <c r="O75" s="3">
        <f t="shared" si="6"/>
        <v>0</v>
      </c>
      <c r="P75" s="3">
        <f t="shared" si="7"/>
        <v>0</v>
      </c>
      <c r="Q75" s="3"/>
      <c r="R75" s="97">
        <f t="shared" si="8"/>
        <v>0</v>
      </c>
      <c r="S75" s="97" t="e">
        <f t="shared" si="9"/>
        <v>#VALUE!</v>
      </c>
      <c r="T75" s="3"/>
      <c r="U75" s="3"/>
      <c r="V75" s="3" t="str">
        <f t="shared" si="10"/>
        <v/>
      </c>
      <c r="W75" s="1" t="e">
        <f t="shared" si="12"/>
        <v>#VALUE!</v>
      </c>
      <c r="X75" s="1"/>
      <c r="Y75" s="1" t="e">
        <f t="shared" si="11"/>
        <v>#VALUE!</v>
      </c>
      <c r="Z75" s="1"/>
      <c r="AA75" s="1"/>
      <c r="AB75" s="1" t="e">
        <f>E75*#REF!</f>
        <v>#REF!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 x14ac:dyDescent="0.3">
      <c r="A76" s="1"/>
      <c r="B76" s="308"/>
      <c r="C76" s="155" t="s">
        <v>42</v>
      </c>
      <c r="D76" s="98" t="str">
        <f t="shared" si="2"/>
        <v xml:space="preserve"> - </v>
      </c>
      <c r="E76" s="155"/>
      <c r="F76" s="95">
        <f t="shared" si="3"/>
        <v>0</v>
      </c>
      <c r="G76" s="95" t="str">
        <f t="shared" si="4"/>
        <v>-</v>
      </c>
      <c r="H76" s="99" t="str">
        <f t="shared" si="5"/>
        <v>-</v>
      </c>
      <c r="I76" s="3"/>
      <c r="J76" s="3"/>
      <c r="K76" s="3"/>
      <c r="L76" s="3"/>
      <c r="M76" s="3"/>
      <c r="N76" s="5"/>
      <c r="O76" s="3">
        <f t="shared" si="6"/>
        <v>0</v>
      </c>
      <c r="P76" s="3">
        <f t="shared" si="7"/>
        <v>0</v>
      </c>
      <c r="Q76" s="3"/>
      <c r="R76" s="97">
        <f t="shared" si="8"/>
        <v>0</v>
      </c>
      <c r="S76" s="97" t="e">
        <f t="shared" si="9"/>
        <v>#VALUE!</v>
      </c>
      <c r="T76" s="3"/>
      <c r="U76" s="3"/>
      <c r="V76" s="3" t="str">
        <f t="shared" si="10"/>
        <v/>
      </c>
      <c r="W76" s="1" t="e">
        <f t="shared" si="12"/>
        <v>#VALUE!</v>
      </c>
      <c r="X76" s="1"/>
      <c r="Y76" s="1" t="e">
        <f t="shared" si="11"/>
        <v>#VALUE!</v>
      </c>
      <c r="Z76" s="1"/>
      <c r="AA76" s="1"/>
      <c r="AB76" s="1" t="e">
        <f>E76*#REF!</f>
        <v>#REF!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 x14ac:dyDescent="0.3">
      <c r="A77" s="1"/>
      <c r="B77" s="308"/>
      <c r="C77" s="155" t="s">
        <v>42</v>
      </c>
      <c r="D77" s="98" t="str">
        <f t="shared" si="2"/>
        <v xml:space="preserve"> - </v>
      </c>
      <c r="E77" s="155"/>
      <c r="F77" s="95">
        <f t="shared" si="3"/>
        <v>0</v>
      </c>
      <c r="G77" s="95" t="str">
        <f t="shared" si="4"/>
        <v>-</v>
      </c>
      <c r="H77" s="99" t="str">
        <f t="shared" si="5"/>
        <v>-</v>
      </c>
      <c r="I77" s="3"/>
      <c r="J77" s="3"/>
      <c r="K77" s="3"/>
      <c r="L77" s="3"/>
      <c r="M77" s="3"/>
      <c r="N77" s="5"/>
      <c r="O77" s="3">
        <f t="shared" si="6"/>
        <v>0</v>
      </c>
      <c r="P77" s="3">
        <f t="shared" si="7"/>
        <v>0</v>
      </c>
      <c r="Q77" s="3"/>
      <c r="R77" s="97">
        <f t="shared" si="8"/>
        <v>0</v>
      </c>
      <c r="S77" s="97" t="e">
        <f t="shared" si="9"/>
        <v>#VALUE!</v>
      </c>
      <c r="T77" s="3"/>
      <c r="U77" s="3"/>
      <c r="V77" s="3" t="str">
        <f t="shared" si="10"/>
        <v/>
      </c>
      <c r="W77" s="1" t="e">
        <f t="shared" si="12"/>
        <v>#VALUE!</v>
      </c>
      <c r="X77" s="1"/>
      <c r="Y77" s="1" t="e">
        <f t="shared" si="11"/>
        <v>#VALUE!</v>
      </c>
      <c r="Z77" s="1"/>
      <c r="AA77" s="1"/>
      <c r="AB77" s="1" t="e">
        <f>E77*#REF!</f>
        <v>#REF!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 x14ac:dyDescent="0.3">
      <c r="A78" s="1"/>
      <c r="B78" s="308"/>
      <c r="C78" s="155" t="s">
        <v>42</v>
      </c>
      <c r="D78" s="98" t="str">
        <f t="shared" si="2"/>
        <v xml:space="preserve"> - </v>
      </c>
      <c r="E78" s="155"/>
      <c r="F78" s="95">
        <f t="shared" si="3"/>
        <v>0</v>
      </c>
      <c r="G78" s="95" t="str">
        <f t="shared" si="4"/>
        <v>-</v>
      </c>
      <c r="H78" s="99" t="str">
        <f t="shared" si="5"/>
        <v>-</v>
      </c>
      <c r="I78" s="3"/>
      <c r="J78" s="3"/>
      <c r="K78" s="3"/>
      <c r="L78" s="3"/>
      <c r="M78" s="3"/>
      <c r="N78" s="5"/>
      <c r="O78" s="3">
        <f t="shared" si="6"/>
        <v>0</v>
      </c>
      <c r="P78" s="3">
        <f t="shared" si="7"/>
        <v>0</v>
      </c>
      <c r="Q78" s="3"/>
      <c r="R78" s="97">
        <f t="shared" si="8"/>
        <v>0</v>
      </c>
      <c r="S78" s="97" t="e">
        <f t="shared" si="9"/>
        <v>#VALUE!</v>
      </c>
      <c r="T78" s="3"/>
      <c r="U78" s="3"/>
      <c r="V78" s="3" t="str">
        <f t="shared" si="10"/>
        <v/>
      </c>
      <c r="W78" s="1" t="e">
        <f t="shared" si="12"/>
        <v>#VALUE!</v>
      </c>
      <c r="X78" s="1"/>
      <c r="Y78" s="1" t="e">
        <f t="shared" si="11"/>
        <v>#VALUE!</v>
      </c>
      <c r="Z78" s="1"/>
      <c r="AA78" s="1"/>
      <c r="AB78" s="1" t="e">
        <f>E78*#REF!</f>
        <v>#REF!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 x14ac:dyDescent="0.3">
      <c r="A79" s="1"/>
      <c r="B79" s="308"/>
      <c r="C79" s="155" t="s">
        <v>42</v>
      </c>
      <c r="D79" s="98" t="str">
        <f t="shared" si="2"/>
        <v xml:space="preserve"> - </v>
      </c>
      <c r="E79" s="155"/>
      <c r="F79" s="95">
        <f t="shared" si="3"/>
        <v>0</v>
      </c>
      <c r="G79" s="95" t="str">
        <f t="shared" si="4"/>
        <v>-</v>
      </c>
      <c r="H79" s="99" t="str">
        <f t="shared" si="5"/>
        <v>-</v>
      </c>
      <c r="I79" s="3"/>
      <c r="J79" s="3"/>
      <c r="K79" s="3"/>
      <c r="L79" s="3"/>
      <c r="M79" s="3"/>
      <c r="N79" s="5"/>
      <c r="O79" s="3">
        <f t="shared" si="6"/>
        <v>0</v>
      </c>
      <c r="P79" s="3">
        <f t="shared" si="7"/>
        <v>0</v>
      </c>
      <c r="Q79" s="3"/>
      <c r="R79" s="97">
        <f t="shared" si="8"/>
        <v>0</v>
      </c>
      <c r="S79" s="97" t="e">
        <f t="shared" si="9"/>
        <v>#VALUE!</v>
      </c>
      <c r="T79" s="3"/>
      <c r="U79" s="3"/>
      <c r="V79" s="3" t="str">
        <f t="shared" si="10"/>
        <v/>
      </c>
      <c r="W79" s="1" t="e">
        <f t="shared" si="12"/>
        <v>#VALUE!</v>
      </c>
      <c r="X79" s="1"/>
      <c r="Y79" s="1" t="e">
        <f t="shared" si="11"/>
        <v>#VALUE!</v>
      </c>
      <c r="Z79" s="1"/>
      <c r="AA79" s="1"/>
      <c r="AB79" s="1" t="e">
        <f>E79*#REF!</f>
        <v>#REF!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 x14ac:dyDescent="0.3">
      <c r="A80" s="1"/>
      <c r="B80" s="308"/>
      <c r="C80" s="155" t="s">
        <v>42</v>
      </c>
      <c r="D80" s="98" t="str">
        <f t="shared" si="2"/>
        <v xml:space="preserve"> - </v>
      </c>
      <c r="E80" s="155"/>
      <c r="F80" s="95">
        <f t="shared" si="3"/>
        <v>0</v>
      </c>
      <c r="G80" s="95" t="str">
        <f t="shared" si="4"/>
        <v>-</v>
      </c>
      <c r="H80" s="99" t="str">
        <f t="shared" si="5"/>
        <v>-</v>
      </c>
      <c r="I80" s="3"/>
      <c r="J80" s="3"/>
      <c r="K80" s="3"/>
      <c r="L80" s="3"/>
      <c r="M80" s="3"/>
      <c r="N80" s="5"/>
      <c r="O80" s="3">
        <f t="shared" si="6"/>
        <v>0</v>
      </c>
      <c r="P80" s="3">
        <f t="shared" si="7"/>
        <v>0</v>
      </c>
      <c r="Q80" s="3"/>
      <c r="R80" s="97">
        <f t="shared" si="8"/>
        <v>0</v>
      </c>
      <c r="S80" s="97" t="e">
        <f t="shared" si="9"/>
        <v>#VALUE!</v>
      </c>
      <c r="T80" s="3"/>
      <c r="U80" s="3"/>
      <c r="V80" s="3" t="str">
        <f t="shared" si="10"/>
        <v/>
      </c>
      <c r="W80" s="1" t="e">
        <f t="shared" si="12"/>
        <v>#VALUE!</v>
      </c>
      <c r="X80" s="1"/>
      <c r="Y80" s="1" t="e">
        <f t="shared" si="11"/>
        <v>#VALUE!</v>
      </c>
      <c r="Z80" s="1"/>
      <c r="AA80" s="1"/>
      <c r="AB80" s="1" t="e">
        <f>E80*#REF!</f>
        <v>#REF!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 x14ac:dyDescent="0.3">
      <c r="A81" s="1"/>
      <c r="B81" s="308"/>
      <c r="C81" s="155" t="s">
        <v>42</v>
      </c>
      <c r="D81" s="98" t="str">
        <f t="shared" si="2"/>
        <v xml:space="preserve"> - </v>
      </c>
      <c r="E81" s="155"/>
      <c r="F81" s="95">
        <f t="shared" si="3"/>
        <v>0</v>
      </c>
      <c r="G81" s="95" t="str">
        <f t="shared" si="4"/>
        <v>-</v>
      </c>
      <c r="H81" s="99" t="str">
        <f t="shared" si="5"/>
        <v>-</v>
      </c>
      <c r="I81" s="3"/>
      <c r="J81" s="3"/>
      <c r="K81" s="3"/>
      <c r="L81" s="3"/>
      <c r="M81" s="3"/>
      <c r="N81" s="5"/>
      <c r="O81" s="3">
        <f t="shared" si="6"/>
        <v>0</v>
      </c>
      <c r="P81" s="3">
        <f t="shared" si="7"/>
        <v>0</v>
      </c>
      <c r="Q81" s="3"/>
      <c r="R81" s="97">
        <f t="shared" si="8"/>
        <v>0</v>
      </c>
      <c r="S81" s="97" t="e">
        <f t="shared" si="9"/>
        <v>#VALUE!</v>
      </c>
      <c r="T81" s="3"/>
      <c r="U81" s="3"/>
      <c r="V81" s="3" t="str">
        <f t="shared" si="10"/>
        <v/>
      </c>
      <c r="W81" s="1" t="e">
        <f t="shared" si="12"/>
        <v>#VALUE!</v>
      </c>
      <c r="X81" s="1"/>
      <c r="Y81" s="1" t="e">
        <f t="shared" si="11"/>
        <v>#VALUE!</v>
      </c>
      <c r="Z81" s="1"/>
      <c r="AA81" s="1"/>
      <c r="AB81" s="1" t="e">
        <f>E81*#REF!</f>
        <v>#REF!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 x14ac:dyDescent="0.3">
      <c r="A82" s="1"/>
      <c r="B82" s="308"/>
      <c r="C82" s="155" t="s">
        <v>42</v>
      </c>
      <c r="D82" s="98" t="str">
        <f t="shared" si="2"/>
        <v xml:space="preserve"> - </v>
      </c>
      <c r="E82" s="155"/>
      <c r="F82" s="95">
        <f t="shared" si="3"/>
        <v>0</v>
      </c>
      <c r="G82" s="95" t="str">
        <f t="shared" si="4"/>
        <v>-</v>
      </c>
      <c r="H82" s="99" t="str">
        <f t="shared" si="5"/>
        <v>-</v>
      </c>
      <c r="I82" s="3"/>
      <c r="J82" s="3"/>
      <c r="K82" s="3"/>
      <c r="L82" s="3"/>
      <c r="M82" s="3"/>
      <c r="N82" s="5"/>
      <c r="O82" s="3">
        <f t="shared" si="6"/>
        <v>0</v>
      </c>
      <c r="P82" s="3">
        <f t="shared" si="7"/>
        <v>0</v>
      </c>
      <c r="Q82" s="3"/>
      <c r="R82" s="97">
        <f t="shared" si="8"/>
        <v>0</v>
      </c>
      <c r="S82" s="97" t="e">
        <f t="shared" si="9"/>
        <v>#VALUE!</v>
      </c>
      <c r="T82" s="3"/>
      <c r="U82" s="3"/>
      <c r="V82" s="3" t="str">
        <f t="shared" si="10"/>
        <v/>
      </c>
      <c r="W82" s="1" t="e">
        <f t="shared" si="12"/>
        <v>#VALUE!</v>
      </c>
      <c r="X82" s="1"/>
      <c r="Y82" s="1" t="e">
        <f t="shared" si="11"/>
        <v>#VALUE!</v>
      </c>
      <c r="Z82" s="1"/>
      <c r="AA82" s="1"/>
      <c r="AB82" s="1" t="e">
        <f>E82*#REF!</f>
        <v>#REF!</v>
      </c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 x14ac:dyDescent="0.3">
      <c r="A83" s="1"/>
      <c r="B83" s="308"/>
      <c r="C83" s="155" t="s">
        <v>42</v>
      </c>
      <c r="D83" s="98" t="str">
        <f t="shared" si="2"/>
        <v xml:space="preserve"> - </v>
      </c>
      <c r="E83" s="155"/>
      <c r="F83" s="95">
        <f t="shared" si="3"/>
        <v>0</v>
      </c>
      <c r="G83" s="95" t="str">
        <f t="shared" si="4"/>
        <v>-</v>
      </c>
      <c r="H83" s="99" t="str">
        <f t="shared" si="5"/>
        <v>-</v>
      </c>
      <c r="I83" s="3"/>
      <c r="J83" s="3"/>
      <c r="K83" s="3"/>
      <c r="L83" s="3"/>
      <c r="M83" s="3"/>
      <c r="N83" s="5"/>
      <c r="O83" s="3">
        <f t="shared" si="6"/>
        <v>0</v>
      </c>
      <c r="P83" s="3">
        <f t="shared" si="7"/>
        <v>0</v>
      </c>
      <c r="Q83" s="3"/>
      <c r="R83" s="97">
        <f t="shared" si="8"/>
        <v>0</v>
      </c>
      <c r="S83" s="97" t="e">
        <f t="shared" si="9"/>
        <v>#VALUE!</v>
      </c>
      <c r="T83" s="3"/>
      <c r="U83" s="3"/>
      <c r="V83" s="3" t="str">
        <f t="shared" si="10"/>
        <v/>
      </c>
      <c r="W83" s="1" t="e">
        <f t="shared" si="12"/>
        <v>#VALUE!</v>
      </c>
      <c r="X83" s="1"/>
      <c r="Y83" s="1" t="e">
        <f t="shared" si="11"/>
        <v>#VALUE!</v>
      </c>
      <c r="Z83" s="1"/>
      <c r="AA83" s="1"/>
      <c r="AB83" s="1" t="e">
        <f>E83*#REF!</f>
        <v>#REF!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 x14ac:dyDescent="0.3">
      <c r="A84" s="1"/>
      <c r="B84" s="308"/>
      <c r="C84" s="155" t="s">
        <v>42</v>
      </c>
      <c r="D84" s="98" t="str">
        <f t="shared" si="2"/>
        <v xml:space="preserve"> - </v>
      </c>
      <c r="E84" s="155"/>
      <c r="F84" s="95">
        <f t="shared" si="3"/>
        <v>0</v>
      </c>
      <c r="G84" s="95" t="str">
        <f t="shared" si="4"/>
        <v>-</v>
      </c>
      <c r="H84" s="99" t="str">
        <f t="shared" si="5"/>
        <v>-</v>
      </c>
      <c r="I84" s="3"/>
      <c r="J84" s="3"/>
      <c r="K84" s="3"/>
      <c r="L84" s="3"/>
      <c r="M84" s="3"/>
      <c r="N84" s="5"/>
      <c r="O84" s="3">
        <f t="shared" si="6"/>
        <v>0</v>
      </c>
      <c r="P84" s="3">
        <f t="shared" si="7"/>
        <v>0</v>
      </c>
      <c r="Q84" s="3"/>
      <c r="R84" s="97">
        <f t="shared" si="8"/>
        <v>0</v>
      </c>
      <c r="S84" s="97" t="e">
        <f t="shared" si="9"/>
        <v>#VALUE!</v>
      </c>
      <c r="T84" s="3"/>
      <c r="U84" s="3"/>
      <c r="V84" s="3" t="str">
        <f t="shared" si="10"/>
        <v/>
      </c>
      <c r="W84" s="1" t="e">
        <f t="shared" si="12"/>
        <v>#VALUE!</v>
      </c>
      <c r="X84" s="1"/>
      <c r="Y84" s="1" t="e">
        <f t="shared" si="11"/>
        <v>#VALUE!</v>
      </c>
      <c r="Z84" s="1"/>
      <c r="AA84" s="1"/>
      <c r="AB84" s="1" t="e">
        <f>E84*#REF!</f>
        <v>#REF!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 x14ac:dyDescent="0.3">
      <c r="A85" s="1"/>
      <c r="B85" s="308"/>
      <c r="C85" s="155" t="s">
        <v>42</v>
      </c>
      <c r="D85" s="98" t="str">
        <f t="shared" si="2"/>
        <v xml:space="preserve"> - </v>
      </c>
      <c r="E85" s="155"/>
      <c r="F85" s="95">
        <f t="shared" si="3"/>
        <v>0</v>
      </c>
      <c r="G85" s="95" t="str">
        <f t="shared" si="4"/>
        <v>-</v>
      </c>
      <c r="H85" s="99" t="str">
        <f t="shared" si="5"/>
        <v>-</v>
      </c>
      <c r="I85" s="3"/>
      <c r="J85" s="3"/>
      <c r="K85" s="3"/>
      <c r="L85" s="3"/>
      <c r="M85" s="3"/>
      <c r="N85" s="5"/>
      <c r="O85" s="3">
        <f t="shared" si="6"/>
        <v>0</v>
      </c>
      <c r="P85" s="3">
        <f t="shared" si="7"/>
        <v>0</v>
      </c>
      <c r="Q85" s="3"/>
      <c r="R85" s="97">
        <f t="shared" si="8"/>
        <v>0</v>
      </c>
      <c r="S85" s="97" t="e">
        <f t="shared" si="9"/>
        <v>#VALUE!</v>
      </c>
      <c r="T85" s="3"/>
      <c r="U85" s="3"/>
      <c r="V85" s="3" t="str">
        <f t="shared" si="10"/>
        <v/>
      </c>
      <c r="W85" s="1" t="e">
        <f t="shared" si="12"/>
        <v>#VALUE!</v>
      </c>
      <c r="X85" s="1"/>
      <c r="Y85" s="1" t="e">
        <f t="shared" si="11"/>
        <v>#VALUE!</v>
      </c>
      <c r="Z85" s="1"/>
      <c r="AA85" s="1"/>
      <c r="AB85" s="1" t="e">
        <f>E85*#REF!</f>
        <v>#REF!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 x14ac:dyDescent="0.3">
      <c r="A86" s="1"/>
      <c r="B86" s="308"/>
      <c r="C86" s="155" t="s">
        <v>42</v>
      </c>
      <c r="D86" s="98" t="str">
        <f t="shared" si="2"/>
        <v xml:space="preserve"> - </v>
      </c>
      <c r="E86" s="155"/>
      <c r="F86" s="95">
        <f t="shared" si="3"/>
        <v>0</v>
      </c>
      <c r="G86" s="95" t="str">
        <f t="shared" si="4"/>
        <v>-</v>
      </c>
      <c r="H86" s="99" t="str">
        <f t="shared" si="5"/>
        <v>-</v>
      </c>
      <c r="I86" s="3"/>
      <c r="J86" s="3"/>
      <c r="K86" s="3"/>
      <c r="L86" s="3"/>
      <c r="M86" s="3"/>
      <c r="N86" s="5"/>
      <c r="O86" s="3">
        <f t="shared" si="6"/>
        <v>0</v>
      </c>
      <c r="P86" s="3">
        <f t="shared" si="7"/>
        <v>0</v>
      </c>
      <c r="Q86" s="3"/>
      <c r="R86" s="97">
        <f t="shared" si="8"/>
        <v>0</v>
      </c>
      <c r="S86" s="97" t="e">
        <f t="shared" si="9"/>
        <v>#VALUE!</v>
      </c>
      <c r="T86" s="3"/>
      <c r="U86" s="3"/>
      <c r="V86" s="3" t="str">
        <f t="shared" si="10"/>
        <v/>
      </c>
      <c r="W86" s="1" t="e">
        <f t="shared" si="12"/>
        <v>#VALUE!</v>
      </c>
      <c r="X86" s="1"/>
      <c r="Y86" s="1" t="e">
        <f t="shared" si="11"/>
        <v>#VALUE!</v>
      </c>
      <c r="Z86" s="1"/>
      <c r="AA86" s="1"/>
      <c r="AB86" s="1" t="e">
        <f>E86*#REF!</f>
        <v>#REF!</v>
      </c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 x14ac:dyDescent="0.3">
      <c r="A87" s="1"/>
      <c r="B87" s="308"/>
      <c r="C87" s="155" t="s">
        <v>42</v>
      </c>
      <c r="D87" s="98" t="str">
        <f t="shared" si="2"/>
        <v xml:space="preserve"> - </v>
      </c>
      <c r="E87" s="155"/>
      <c r="F87" s="95">
        <f t="shared" si="3"/>
        <v>0</v>
      </c>
      <c r="G87" s="95" t="str">
        <f t="shared" si="4"/>
        <v>-</v>
      </c>
      <c r="H87" s="99" t="str">
        <f t="shared" si="5"/>
        <v>-</v>
      </c>
      <c r="I87" s="3"/>
      <c r="J87" s="3"/>
      <c r="K87" s="3"/>
      <c r="L87" s="3"/>
      <c r="M87" s="3"/>
      <c r="N87" s="5"/>
      <c r="O87" s="3">
        <f t="shared" si="6"/>
        <v>0</v>
      </c>
      <c r="P87" s="3">
        <f t="shared" si="7"/>
        <v>0</v>
      </c>
      <c r="Q87" s="3"/>
      <c r="R87" s="97">
        <f t="shared" si="8"/>
        <v>0</v>
      </c>
      <c r="S87" s="97" t="e">
        <f t="shared" si="9"/>
        <v>#VALUE!</v>
      </c>
      <c r="T87" s="3"/>
      <c r="U87" s="3"/>
      <c r="V87" s="3" t="str">
        <f t="shared" si="10"/>
        <v/>
      </c>
      <c r="W87" s="1" t="e">
        <f t="shared" si="12"/>
        <v>#VALUE!</v>
      </c>
      <c r="X87" s="1"/>
      <c r="Y87" s="1" t="e">
        <f t="shared" si="11"/>
        <v>#VALUE!</v>
      </c>
      <c r="Z87" s="1"/>
      <c r="AA87" s="1"/>
      <c r="AB87" s="1" t="e">
        <f>E87*#REF!</f>
        <v>#REF!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 x14ac:dyDescent="0.3">
      <c r="A88" s="1"/>
      <c r="B88" s="308"/>
      <c r="C88" s="155" t="s">
        <v>42</v>
      </c>
      <c r="D88" s="98" t="str">
        <f t="shared" si="2"/>
        <v xml:space="preserve"> - </v>
      </c>
      <c r="E88" s="155"/>
      <c r="F88" s="95">
        <f t="shared" si="3"/>
        <v>0</v>
      </c>
      <c r="G88" s="95" t="str">
        <f t="shared" si="4"/>
        <v>-</v>
      </c>
      <c r="H88" s="99" t="str">
        <f t="shared" si="5"/>
        <v>-</v>
      </c>
      <c r="I88" s="3"/>
      <c r="J88" s="3"/>
      <c r="K88" s="3"/>
      <c r="L88" s="3"/>
      <c r="M88" s="3"/>
      <c r="N88" s="5"/>
      <c r="O88" s="3">
        <f t="shared" si="6"/>
        <v>0</v>
      </c>
      <c r="P88" s="3">
        <f t="shared" si="7"/>
        <v>0</v>
      </c>
      <c r="Q88" s="3"/>
      <c r="R88" s="97">
        <f t="shared" si="8"/>
        <v>0</v>
      </c>
      <c r="S88" s="97" t="e">
        <f t="shared" si="9"/>
        <v>#VALUE!</v>
      </c>
      <c r="T88" s="3"/>
      <c r="U88" s="3"/>
      <c r="V88" s="3" t="str">
        <f t="shared" si="10"/>
        <v/>
      </c>
      <c r="W88" s="1" t="e">
        <f t="shared" si="12"/>
        <v>#VALUE!</v>
      </c>
      <c r="X88" s="1"/>
      <c r="Y88" s="1" t="e">
        <f t="shared" si="11"/>
        <v>#VALUE!</v>
      </c>
      <c r="Z88" s="1"/>
      <c r="AA88" s="1"/>
      <c r="AB88" s="1" t="e">
        <f>E88*#REF!</f>
        <v>#REF!</v>
      </c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 x14ac:dyDescent="0.3">
      <c r="A89" s="1"/>
      <c r="B89" s="308"/>
      <c r="C89" s="155" t="s">
        <v>42</v>
      </c>
      <c r="D89" s="98" t="str">
        <f t="shared" si="2"/>
        <v xml:space="preserve"> - </v>
      </c>
      <c r="E89" s="155"/>
      <c r="F89" s="95">
        <f t="shared" si="3"/>
        <v>0</v>
      </c>
      <c r="G89" s="95" t="str">
        <f t="shared" si="4"/>
        <v>-</v>
      </c>
      <c r="H89" s="99" t="str">
        <f t="shared" si="5"/>
        <v>-</v>
      </c>
      <c r="I89" s="3"/>
      <c r="J89" s="3"/>
      <c r="K89" s="3"/>
      <c r="L89" s="3"/>
      <c r="M89" s="3"/>
      <c r="N89" s="5"/>
      <c r="O89" s="3">
        <f t="shared" si="6"/>
        <v>0</v>
      </c>
      <c r="P89" s="3">
        <f t="shared" si="7"/>
        <v>0</v>
      </c>
      <c r="Q89" s="3"/>
      <c r="R89" s="97">
        <f t="shared" si="8"/>
        <v>0</v>
      </c>
      <c r="S89" s="97" t="e">
        <f t="shared" si="9"/>
        <v>#VALUE!</v>
      </c>
      <c r="T89" s="3"/>
      <c r="U89" s="3"/>
      <c r="V89" s="3" t="str">
        <f t="shared" si="10"/>
        <v/>
      </c>
      <c r="W89" s="1" t="e">
        <f t="shared" si="12"/>
        <v>#VALUE!</v>
      </c>
      <c r="X89" s="1"/>
      <c r="Y89" s="1" t="e">
        <f t="shared" si="11"/>
        <v>#VALUE!</v>
      </c>
      <c r="Z89" s="1"/>
      <c r="AA89" s="1"/>
      <c r="AB89" s="1" t="e">
        <f>E89*#REF!</f>
        <v>#REF!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 x14ac:dyDescent="0.3">
      <c r="A90" s="1"/>
      <c r="B90" s="308"/>
      <c r="C90" s="155" t="s">
        <v>42</v>
      </c>
      <c r="D90" s="98" t="str">
        <f t="shared" si="2"/>
        <v xml:space="preserve"> - </v>
      </c>
      <c r="E90" s="155"/>
      <c r="F90" s="95">
        <f t="shared" si="3"/>
        <v>0</v>
      </c>
      <c r="G90" s="95" t="str">
        <f t="shared" si="4"/>
        <v>-</v>
      </c>
      <c r="H90" s="99" t="str">
        <f t="shared" si="5"/>
        <v>-</v>
      </c>
      <c r="I90" s="3"/>
      <c r="J90" s="3"/>
      <c r="K90" s="3"/>
      <c r="L90" s="3"/>
      <c r="M90" s="3"/>
      <c r="N90" s="5"/>
      <c r="O90" s="3">
        <f t="shared" si="6"/>
        <v>0</v>
      </c>
      <c r="P90" s="3">
        <f t="shared" si="7"/>
        <v>0</v>
      </c>
      <c r="Q90" s="3"/>
      <c r="R90" s="97">
        <f t="shared" si="8"/>
        <v>0</v>
      </c>
      <c r="S90" s="97" t="e">
        <f t="shared" si="9"/>
        <v>#VALUE!</v>
      </c>
      <c r="T90" s="3"/>
      <c r="U90" s="3"/>
      <c r="V90" s="3" t="str">
        <f t="shared" si="10"/>
        <v/>
      </c>
      <c r="W90" s="1" t="e">
        <f t="shared" si="12"/>
        <v>#VALUE!</v>
      </c>
      <c r="X90" s="1"/>
      <c r="Y90" s="1" t="e">
        <f t="shared" si="11"/>
        <v>#VALUE!</v>
      </c>
      <c r="Z90" s="1"/>
      <c r="AA90" s="1"/>
      <c r="AB90" s="1" t="e">
        <f>E90*#REF!</f>
        <v>#REF!</v>
      </c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 thickBot="1" x14ac:dyDescent="0.35">
      <c r="A91" s="1"/>
      <c r="B91" s="311"/>
      <c r="C91" s="312" t="s">
        <v>42</v>
      </c>
      <c r="D91" s="100" t="str">
        <f t="shared" si="2"/>
        <v xml:space="preserve"> - </v>
      </c>
      <c r="E91" s="312"/>
      <c r="F91" s="101">
        <f t="shared" si="3"/>
        <v>0</v>
      </c>
      <c r="G91" s="95" t="str">
        <f t="shared" si="4"/>
        <v>-</v>
      </c>
      <c r="H91" s="102" t="str">
        <f t="shared" si="5"/>
        <v>-</v>
      </c>
      <c r="I91" s="3"/>
      <c r="J91" s="3"/>
      <c r="K91" s="3"/>
      <c r="L91" s="3"/>
      <c r="M91" s="3"/>
      <c r="N91" s="5"/>
      <c r="O91" s="3">
        <f t="shared" si="6"/>
        <v>0</v>
      </c>
      <c r="P91" s="3">
        <f t="shared" si="7"/>
        <v>0</v>
      </c>
      <c r="Q91" s="3"/>
      <c r="R91" s="97">
        <f t="shared" si="8"/>
        <v>0</v>
      </c>
      <c r="S91" s="97" t="e">
        <f t="shared" si="9"/>
        <v>#VALUE!</v>
      </c>
      <c r="T91" s="3"/>
      <c r="U91" s="3"/>
      <c r="V91" s="3" t="str">
        <f t="shared" si="10"/>
        <v/>
      </c>
      <c r="W91" s="1" t="e">
        <f t="shared" si="12"/>
        <v>#VALUE!</v>
      </c>
      <c r="X91" s="1"/>
      <c r="Y91" s="1" t="e">
        <f t="shared" si="11"/>
        <v>#VALUE!</v>
      </c>
      <c r="Z91" s="1"/>
      <c r="AA91" s="1"/>
      <c r="AB91" s="1" t="e">
        <f>E91*#REF!</f>
        <v>#REF!</v>
      </c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6.5" customHeight="1" x14ac:dyDescent="0.3">
      <c r="A92" s="1"/>
      <c r="B92" s="103"/>
      <c r="C92" s="48"/>
      <c r="D92" s="49" t="s">
        <v>78</v>
      </c>
      <c r="E92" s="50">
        <f>SUM('Summary Table'!C13:C20)</f>
        <v>0</v>
      </c>
      <c r="F92" s="51" t="s">
        <v>34</v>
      </c>
      <c r="G92" s="285" t="s">
        <v>79</v>
      </c>
      <c r="H92" s="104"/>
      <c r="I92" s="344" t="str">
        <f>IF(F22&lt;&gt;E92, "(A) AND (B) MUST BE EQUAL", " ")</f>
        <v xml:space="preserve"> </v>
      </c>
      <c r="J92" s="359"/>
      <c r="K92" s="3"/>
      <c r="L92" s="3"/>
      <c r="M92" s="3"/>
      <c r="N92" s="5"/>
      <c r="O92" s="3"/>
      <c r="P92" s="3"/>
      <c r="Q92" s="3"/>
      <c r="R92" s="3"/>
      <c r="S92" s="3"/>
      <c r="T92" s="3"/>
      <c r="U92" s="3"/>
      <c r="V92" s="3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6.5" customHeight="1" x14ac:dyDescent="0.3">
      <c r="A93" s="1"/>
      <c r="B93" s="105"/>
      <c r="C93" s="106"/>
      <c r="D93" s="25" t="s">
        <v>35</v>
      </c>
      <c r="E93" s="107">
        <f>E92/43560</f>
        <v>0</v>
      </c>
      <c r="F93" s="39" t="s">
        <v>36</v>
      </c>
      <c r="G93" s="106"/>
      <c r="H93" s="108"/>
      <c r="I93" s="344" t="str">
        <f>IF(F26&lt;&gt;G48, "IMPERVIOUS AREAS INCONSISTENT", " ")</f>
        <v xml:space="preserve"> </v>
      </c>
      <c r="J93" s="345"/>
      <c r="K93" s="345"/>
      <c r="L93" s="3"/>
      <c r="M93" s="3"/>
      <c r="N93" s="5"/>
      <c r="O93" s="3"/>
      <c r="P93" s="3"/>
      <c r="Q93" s="3"/>
      <c r="R93" s="3"/>
      <c r="S93" s="3"/>
      <c r="T93" s="3"/>
      <c r="U93" s="3"/>
      <c r="V93" s="3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6.5" customHeight="1" thickBot="1" x14ac:dyDescent="0.35">
      <c r="A94" s="1"/>
      <c r="B94" s="53"/>
      <c r="C94" s="54"/>
      <c r="D94" s="109" t="s">
        <v>80</v>
      </c>
      <c r="E94" s="110">
        <f>SUM(H52:H91)</f>
        <v>0</v>
      </c>
      <c r="F94" s="111" t="s">
        <v>81</v>
      </c>
      <c r="G94" s="54"/>
      <c r="H94" s="57"/>
      <c r="I94" s="3"/>
      <c r="J94" s="3"/>
      <c r="K94" s="3"/>
      <c r="L94" s="3"/>
      <c r="M94" s="3"/>
      <c r="N94" s="5"/>
      <c r="O94" s="3"/>
      <c r="P94" s="3"/>
      <c r="Q94" s="3"/>
      <c r="R94" s="3"/>
      <c r="S94" s="3"/>
      <c r="T94" s="3"/>
      <c r="U94" s="3"/>
      <c r="V94" s="3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6.5" customHeight="1" x14ac:dyDescent="0.3">
      <c r="A95" s="1"/>
      <c r="B95" s="346" t="s">
        <v>82</v>
      </c>
      <c r="C95" s="346"/>
      <c r="D95" s="346"/>
      <c r="E95" s="346"/>
      <c r="F95" s="346"/>
      <c r="G95" s="346"/>
      <c r="H95" s="346"/>
      <c r="I95" s="3"/>
      <c r="J95" s="3"/>
      <c r="K95" s="3"/>
      <c r="L95" s="3"/>
      <c r="M95" s="3"/>
      <c r="N95" s="5"/>
      <c r="O95" s="3"/>
      <c r="P95" s="3"/>
      <c r="Q95" s="3"/>
      <c r="R95" s="3"/>
      <c r="S95" s="3"/>
      <c r="T95" s="3"/>
      <c r="U95" s="3"/>
      <c r="V95" s="3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6.5" x14ac:dyDescent="0.3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5"/>
      <c r="O96" s="3"/>
      <c r="P96" s="3"/>
      <c r="Q96" s="3"/>
      <c r="R96" s="3"/>
      <c r="S96" s="3"/>
      <c r="T96" s="3"/>
      <c r="U96" s="3"/>
      <c r="V96" s="3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6.5" x14ac:dyDescent="0.3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5"/>
      <c r="O97" s="3"/>
      <c r="P97" s="3"/>
      <c r="Q97" s="3"/>
      <c r="R97" s="3"/>
      <c r="S97" s="3"/>
      <c r="T97" s="3"/>
      <c r="U97" s="3"/>
      <c r="V97" s="3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6.5" x14ac:dyDescent="0.3">
      <c r="A98" s="11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5"/>
      <c r="O98" s="3"/>
      <c r="P98" s="3"/>
      <c r="Q98" s="3"/>
      <c r="R98" s="97"/>
      <c r="S98" s="97"/>
      <c r="T98" s="3"/>
      <c r="U98" s="3"/>
      <c r="V98" s="3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6.5" x14ac:dyDescent="0.3">
      <c r="A99" s="11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3"/>
      <c r="P99" s="3"/>
      <c r="Q99" s="3"/>
      <c r="R99" s="97"/>
      <c r="S99" s="97"/>
      <c r="T99" s="3"/>
      <c r="U99" s="3"/>
      <c r="V99" s="3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6.5" x14ac:dyDescent="0.3">
      <c r="A100" s="112"/>
      <c r="B100" s="7"/>
      <c r="C100" s="113"/>
      <c r="D100" s="113"/>
      <c r="E100" s="113"/>
      <c r="F100" s="114"/>
      <c r="G100" s="114"/>
      <c r="H100" s="113"/>
      <c r="I100" s="3"/>
      <c r="J100" s="3"/>
      <c r="K100" s="3"/>
      <c r="L100" s="3"/>
      <c r="M100" s="3"/>
      <c r="N100" s="5"/>
      <c r="O100" s="3"/>
      <c r="P100" s="3"/>
      <c r="Q100" s="3"/>
      <c r="R100" s="97"/>
      <c r="S100" s="97"/>
      <c r="T100" s="3"/>
      <c r="U100" s="3"/>
      <c r="V100" s="3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</sheetData>
  <sheetProtection algorithmName="SHA-512" hashValue="sDJsNIfbTHCgrseDi4ic6MdPDR0RRrPf4iuAaTAqE6148r8T4JZYmzroflPqp/LyK8Tpw5jkkj/tSFvNEert/g==" saltValue="K0sinWjEPNaCS7bdTTXQvA==" spinCount="100000" sheet="1" objects="1" scenarios="1" selectLockedCells="1"/>
  <protectedRanges>
    <protectedRange sqref="C1:C4" name="Project Discription"/>
    <protectedRange sqref="F7" name="Design Rainfall"/>
  </protectedRanges>
  <mergeCells count="13">
    <mergeCell ref="R15:R17"/>
    <mergeCell ref="S15:S17"/>
    <mergeCell ref="I92:J92"/>
    <mergeCell ref="I48:J48"/>
    <mergeCell ref="I93:K93"/>
    <mergeCell ref="I7:L7"/>
    <mergeCell ref="B95:H95"/>
    <mergeCell ref="C1:D1"/>
    <mergeCell ref="C2:D2"/>
    <mergeCell ref="C3:D3"/>
    <mergeCell ref="G9:H9"/>
    <mergeCell ref="E3:H3"/>
    <mergeCell ref="E4:H4"/>
  </mergeCells>
  <conditionalFormatting sqref="I92">
    <cfRule type="containsText" dxfId="151" priority="8" operator="containsText" text="(A) AND (B) MUST BE EQUAL">
      <formula>NOT(ISERROR(SEARCH("(A) AND (B) MUST BE EQUAL",I92)))</formula>
    </cfRule>
  </conditionalFormatting>
  <conditionalFormatting sqref="I48">
    <cfRule type="containsText" dxfId="150" priority="7" operator="containsText" text="(A) AND (B) MUST BE EQUAL">
      <formula>NOT(ISERROR(SEARCH("(A) AND (B) MUST BE EQUAL",I48)))</formula>
    </cfRule>
  </conditionalFormatting>
  <conditionalFormatting sqref="I93">
    <cfRule type="containsText" dxfId="149" priority="6" operator="containsText" text="(A) AND (B) MUST BE EQUAL">
      <formula>NOT(ISERROR(SEARCH("(A) AND (B) MUST BE EQUAL",I93)))</formula>
    </cfRule>
  </conditionalFormatting>
  <conditionalFormatting sqref="I93">
    <cfRule type="containsText" dxfId="148" priority="5" operator="containsText" text="IMPERVIOUS AREAS INCONSISTENT">
      <formula>NOT(ISERROR(SEARCH("IMPERVIOUS AREAS INCONSISTENT",I93)))</formula>
    </cfRule>
  </conditionalFormatting>
  <conditionalFormatting sqref="I7">
    <cfRule type="containsText" dxfId="147" priority="4" operator="containsText" text="Green Infrastructure">
      <formula>NOT(ISERROR(SEARCH("Green Infrastructure",I7)))</formula>
    </cfRule>
  </conditionalFormatting>
  <conditionalFormatting sqref="I7">
    <cfRule type="containsText" dxfId="146" priority="1" operator="containsText" text="Proprietary">
      <formula>NOT(ISERROR(SEARCH("Proprietary",I7)))</formula>
    </cfRule>
    <cfRule type="containsText" dxfId="145" priority="2" operator="containsText" text="Modified">
      <formula>NOT(ISERROR(SEARCH("Modified",I7)))</formula>
    </cfRule>
    <cfRule type="containsText" dxfId="144" priority="3" operator="containsText" text="Proprietary">
      <formula>NOT(ISERROR(SEARCH("Proprietary",I7)))</formula>
    </cfRule>
  </conditionalFormatting>
  <dataValidations count="2">
    <dataValidation type="list" allowBlank="1" showInputMessage="1" showErrorMessage="1" sqref="F7">
      <formula1>$D$34:$L$34</formula1>
    </dataValidation>
    <dataValidation type="list" allowBlank="1" showInputMessage="1" showErrorMessage="1" sqref="C100 C52:C91">
      <formula1>$B$35:$B$42</formula1>
    </dataValidation>
  </dataValidations>
  <pageMargins left="0.25" right="0.25" top="0.75" bottom="0.75" header="0.3" footer="0.3"/>
  <pageSetup scale="75" fitToHeight="2" orientation="portrait" verticalDpi="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L45"/>
  <sheetViews>
    <sheetView topLeftCell="A6" zoomScaleNormal="100" workbookViewId="0">
      <selection activeCell="D10" sqref="D10"/>
    </sheetView>
  </sheetViews>
  <sheetFormatPr defaultRowHeight="15" x14ac:dyDescent="0.25"/>
  <cols>
    <col min="1" max="1" width="11.42578125" customWidth="1"/>
    <col min="2" max="2" width="18.7109375" customWidth="1"/>
    <col min="3" max="3" width="21.140625" customWidth="1"/>
    <col min="4" max="4" width="39.140625" customWidth="1"/>
    <col min="5" max="5" width="18.140625" customWidth="1"/>
    <col min="6" max="7" width="14.7109375" customWidth="1"/>
    <col min="8" max="8" width="23.7109375" customWidth="1"/>
    <col min="9" max="9" width="15.42578125" customWidth="1"/>
    <col min="10" max="10" width="18" customWidth="1"/>
    <col min="11" max="11" width="10.85546875" customWidth="1"/>
    <col min="12" max="26" width="9.140625" hidden="1" customWidth="1"/>
    <col min="27" max="27" width="0" hidden="1" customWidth="1"/>
  </cols>
  <sheetData>
    <row r="1" spans="1:38" ht="18" x14ac:dyDescent="0.3">
      <c r="A1" s="115"/>
      <c r="B1" s="116" t="s">
        <v>0</v>
      </c>
      <c r="C1" s="360" t="str">
        <f>'Worksheet 1 (SOV and SCM AREA)'!C1</f>
        <v>Example Project</v>
      </c>
      <c r="D1" s="360"/>
      <c r="E1" s="117"/>
      <c r="F1" s="118"/>
      <c r="G1" s="118"/>
      <c r="H1" s="118"/>
      <c r="I1" s="119" t="s">
        <v>83</v>
      </c>
      <c r="J1" s="120"/>
      <c r="K1" s="120"/>
      <c r="L1" s="121"/>
      <c r="M1" s="122"/>
      <c r="N1" s="118"/>
      <c r="O1" s="118"/>
      <c r="P1" s="123"/>
      <c r="Q1" s="124"/>
      <c r="R1" s="118"/>
      <c r="S1" s="118"/>
      <c r="T1" s="118"/>
      <c r="U1" s="115"/>
      <c r="V1" s="115"/>
      <c r="W1" s="115"/>
      <c r="X1" s="125" t="s">
        <v>3</v>
      </c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</row>
    <row r="2" spans="1:38" ht="16.5" x14ac:dyDescent="0.3">
      <c r="A2" s="115"/>
      <c r="B2" s="116" t="s">
        <v>4</v>
      </c>
      <c r="C2" s="361">
        <f>'Worksheet 1 (SOV and SCM AREA)'!C2</f>
        <v>43068</v>
      </c>
      <c r="D2" s="361"/>
      <c r="E2" s="126"/>
      <c r="F2" s="118"/>
      <c r="G2" s="127"/>
      <c r="H2" s="118"/>
      <c r="I2" s="128"/>
      <c r="J2" s="118"/>
      <c r="K2" s="129"/>
      <c r="L2" s="129"/>
      <c r="M2" s="122"/>
      <c r="N2" s="118"/>
      <c r="O2" s="118"/>
      <c r="P2" s="123"/>
      <c r="Q2" s="130" t="s">
        <v>2</v>
      </c>
      <c r="R2" s="118"/>
      <c r="S2" s="118"/>
      <c r="T2" s="118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</row>
    <row r="3" spans="1:38" ht="16.5" x14ac:dyDescent="0.3">
      <c r="A3" s="115"/>
      <c r="B3" s="116" t="s">
        <v>5</v>
      </c>
      <c r="C3" s="360" t="str">
        <f>'Worksheet 1 (SOV and SCM AREA)'!C3</f>
        <v>I. B. A'Designer</v>
      </c>
      <c r="D3" s="360"/>
      <c r="E3" s="131"/>
      <c r="F3" s="118"/>
      <c r="G3" s="127"/>
      <c r="H3" s="118"/>
      <c r="I3" s="132"/>
      <c r="J3" s="118"/>
      <c r="K3" s="120"/>
      <c r="L3" s="129"/>
      <c r="M3" s="122"/>
      <c r="N3" s="118"/>
      <c r="O3" s="118"/>
      <c r="P3" s="123"/>
      <c r="Q3" s="124"/>
      <c r="R3" s="118"/>
      <c r="S3" s="118"/>
      <c r="T3" s="118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</row>
    <row r="4" spans="1:38" ht="16.5" x14ac:dyDescent="0.3">
      <c r="A4" s="115"/>
      <c r="B4" s="126"/>
      <c r="C4" s="126"/>
      <c r="D4" s="126"/>
      <c r="E4" s="133"/>
      <c r="F4" s="134"/>
      <c r="G4" s="128"/>
      <c r="H4" s="128"/>
      <c r="I4" s="132"/>
      <c r="J4" s="118"/>
      <c r="K4" s="129"/>
      <c r="L4" s="129"/>
      <c r="M4" s="135"/>
      <c r="N4" s="122"/>
      <c r="O4" s="118"/>
      <c r="P4" s="118"/>
      <c r="Q4" s="136"/>
      <c r="R4" s="118"/>
      <c r="S4" s="118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</row>
    <row r="5" spans="1:38" ht="16.5" x14ac:dyDescent="0.3">
      <c r="A5" s="115"/>
      <c r="B5" s="137"/>
      <c r="C5" s="118" t="s">
        <v>6</v>
      </c>
      <c r="D5" s="115"/>
      <c r="E5" s="138"/>
      <c r="F5" s="118"/>
      <c r="G5" s="118"/>
      <c r="H5" s="118"/>
      <c r="I5" s="132"/>
      <c r="J5" s="118"/>
      <c r="K5" s="120"/>
      <c r="L5" s="120"/>
      <c r="M5" s="135"/>
      <c r="N5" s="122"/>
      <c r="O5" s="118"/>
      <c r="P5" s="118"/>
      <c r="Q5" s="136"/>
      <c r="R5" s="118"/>
      <c r="S5" s="118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</row>
    <row r="6" spans="1:38" ht="17.25" thickBot="1" x14ac:dyDescent="0.35">
      <c r="A6" s="115"/>
      <c r="B6" s="127"/>
      <c r="C6" s="118"/>
      <c r="D6" s="115"/>
      <c r="E6" s="138"/>
      <c r="F6" s="118"/>
      <c r="G6" s="118"/>
      <c r="H6" s="118"/>
      <c r="I6" s="132"/>
      <c r="J6" s="118"/>
      <c r="K6" s="120"/>
      <c r="L6" s="120"/>
      <c r="M6" s="135"/>
      <c r="N6" s="122"/>
      <c r="O6" s="118"/>
      <c r="P6" s="118"/>
      <c r="Q6" s="136"/>
      <c r="R6" s="118"/>
      <c r="S6" s="118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</row>
    <row r="7" spans="1:38" ht="17.25" thickBot="1" x14ac:dyDescent="0.3">
      <c r="A7" s="132"/>
      <c r="B7" s="362" t="s">
        <v>84</v>
      </c>
      <c r="C7" s="363"/>
      <c r="D7" s="363"/>
      <c r="E7" s="363"/>
      <c r="F7" s="363"/>
      <c r="G7" s="363"/>
      <c r="H7" s="363"/>
      <c r="I7" s="364"/>
      <c r="J7" s="139"/>
      <c r="K7" s="139"/>
      <c r="L7" s="139"/>
      <c r="M7" s="132"/>
      <c r="N7" s="132"/>
      <c r="O7" s="132"/>
      <c r="P7" s="132"/>
      <c r="Q7" s="130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</row>
    <row r="8" spans="1:38" ht="42.75" customHeight="1" x14ac:dyDescent="0.25">
      <c r="A8" s="132"/>
      <c r="B8" s="140" t="s">
        <v>85</v>
      </c>
      <c r="C8" s="141" t="s">
        <v>86</v>
      </c>
      <c r="D8" s="86" t="s">
        <v>87</v>
      </c>
      <c r="E8" s="86" t="s">
        <v>88</v>
      </c>
      <c r="F8" s="86" t="s">
        <v>89</v>
      </c>
      <c r="G8" s="86" t="s">
        <v>90</v>
      </c>
      <c r="H8" s="141" t="s">
        <v>91</v>
      </c>
      <c r="I8" s="142" t="s">
        <v>92</v>
      </c>
      <c r="J8" s="139"/>
      <c r="K8" s="139"/>
      <c r="L8" s="139"/>
      <c r="M8" s="132"/>
      <c r="N8" s="132"/>
      <c r="O8" s="132"/>
      <c r="P8" s="132"/>
      <c r="Q8" s="130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</row>
    <row r="9" spans="1:38" ht="18.75" thickBot="1" x14ac:dyDescent="0.3">
      <c r="A9" s="132"/>
      <c r="B9" s="143"/>
      <c r="C9" s="144" t="s">
        <v>93</v>
      </c>
      <c r="D9" s="145"/>
      <c r="E9" s="144" t="s">
        <v>94</v>
      </c>
      <c r="F9" s="146"/>
      <c r="G9" s="144" t="s">
        <v>76</v>
      </c>
      <c r="H9" s="144" t="s">
        <v>76</v>
      </c>
      <c r="I9" s="144" t="s">
        <v>93</v>
      </c>
      <c r="J9" s="139"/>
      <c r="K9" s="139"/>
      <c r="L9" s="139"/>
      <c r="M9" s="132"/>
      <c r="N9" s="132"/>
      <c r="O9" s="132"/>
      <c r="P9" s="132"/>
      <c r="Q9" s="130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1:38" ht="16.5" x14ac:dyDescent="0.3">
      <c r="A10" s="132"/>
      <c r="B10" s="147">
        <v>1</v>
      </c>
      <c r="C10" s="148">
        <f>LOOKUP(B10,'Summary Table'!$B$13:$B$20,'Summary Table'!$E$13:$E$20)</f>
        <v>0</v>
      </c>
      <c r="D10" s="149" t="s">
        <v>60</v>
      </c>
      <c r="E10" s="150"/>
      <c r="F10" s="151"/>
      <c r="G10" s="152">
        <f>IF(D10="tree planting - Deciduous",F10*6,IF(D10="Tree Planting - Evergreen",F10*10,IF(D10="none",0,E10/4/12)))</f>
        <v>0</v>
      </c>
      <c r="H10" s="152">
        <f>MIN(SUM(G10:G12),0.25*C10)</f>
        <v>0</v>
      </c>
      <c r="I10" s="148">
        <f>C10-H10</f>
        <v>0</v>
      </c>
      <c r="J10" s="132"/>
      <c r="K10" s="132"/>
      <c r="L10" s="132"/>
      <c r="M10" s="132"/>
      <c r="N10" s="132"/>
      <c r="O10" s="132"/>
      <c r="P10" s="132"/>
      <c r="Q10" s="130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1:38" ht="16.5" x14ac:dyDescent="0.3">
      <c r="A11" s="132"/>
      <c r="B11" s="153"/>
      <c r="C11" s="154"/>
      <c r="D11" s="149" t="s">
        <v>60</v>
      </c>
      <c r="E11" s="155"/>
      <c r="F11" s="155"/>
      <c r="G11" s="156">
        <f>IF(D11="tree planting - Deciduous",F11*6,IF(D11="Tree Planting - Evergreen",F11*10,IF(D11="none",0,E11/4/12)))</f>
        <v>0</v>
      </c>
      <c r="H11" s="157"/>
      <c r="I11" s="158"/>
      <c r="J11" s="132"/>
      <c r="K11" s="132"/>
      <c r="L11" s="132"/>
      <c r="M11" s="132"/>
      <c r="N11" s="132"/>
      <c r="O11" s="132"/>
      <c r="P11" s="132"/>
      <c r="Q11" s="130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1:38" ht="17.25" thickBot="1" x14ac:dyDescent="0.35">
      <c r="A12" s="132"/>
      <c r="B12" s="159"/>
      <c r="C12" s="160"/>
      <c r="D12" s="149" t="s">
        <v>60</v>
      </c>
      <c r="E12" s="155"/>
      <c r="F12" s="161"/>
      <c r="G12" s="162">
        <f>IF(D12="tree planting - Deciduous",F12*6,IF(D12="Tree Planting - Evergreen",F12*10,IF(D12="none",0,E12/4/12)))</f>
        <v>0</v>
      </c>
      <c r="H12" s="163"/>
      <c r="I12" s="164"/>
      <c r="J12" s="139"/>
      <c r="K12" s="139"/>
      <c r="L12" s="139"/>
      <c r="M12" s="132"/>
      <c r="N12" s="132"/>
      <c r="O12" s="132"/>
      <c r="P12" s="132"/>
      <c r="Q12" s="130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</row>
    <row r="13" spans="1:38" ht="9" customHeight="1" thickBot="1" x14ac:dyDescent="0.3">
      <c r="A13" s="132"/>
      <c r="B13" s="165"/>
      <c r="C13" s="166"/>
      <c r="D13" s="166"/>
      <c r="E13" s="167"/>
      <c r="F13" s="167"/>
      <c r="G13" s="166"/>
      <c r="H13" s="168"/>
      <c r="I13" s="167"/>
      <c r="J13" s="139"/>
      <c r="K13" s="139"/>
      <c r="L13" s="139"/>
      <c r="M13" s="132"/>
      <c r="N13" s="132"/>
      <c r="O13" s="132"/>
      <c r="P13" s="132"/>
      <c r="Q13" s="130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</row>
    <row r="14" spans="1:38" ht="16.5" x14ac:dyDescent="0.3">
      <c r="A14" s="132"/>
      <c r="B14" s="147">
        <v>2</v>
      </c>
      <c r="C14" s="148">
        <f>LOOKUP(B14,'Summary Table'!$B$13:$B$20,'Summary Table'!$E$13:$E$20)</f>
        <v>0</v>
      </c>
      <c r="D14" s="149" t="s">
        <v>60</v>
      </c>
      <c r="E14" s="150"/>
      <c r="F14" s="151"/>
      <c r="G14" s="152">
        <f t="shared" ref="G14:G40" si="0">IF(D14="tree planting - Deciduous",F14*6,IF(D14="Tree Planting - Evergreen",F14*10,IF(D14="none",0,E14/4/12)))</f>
        <v>0</v>
      </c>
      <c r="H14" s="152">
        <f>MIN(SUM(G14:G16),0.25*C14)</f>
        <v>0</v>
      </c>
      <c r="I14" s="148">
        <f>C14-H14</f>
        <v>0</v>
      </c>
      <c r="J14" s="132"/>
      <c r="K14" s="132"/>
      <c r="L14" s="132"/>
      <c r="M14" s="132"/>
      <c r="N14" s="132"/>
      <c r="O14" s="132"/>
      <c r="P14" s="132"/>
      <c r="Q14" s="130"/>
      <c r="R14" s="132"/>
      <c r="S14" s="132"/>
      <c r="T14" s="62" t="s">
        <v>38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1:38" ht="16.5" x14ac:dyDescent="0.3">
      <c r="A15" s="132"/>
      <c r="B15" s="153"/>
      <c r="C15" s="154"/>
      <c r="D15" s="149" t="s">
        <v>60</v>
      </c>
      <c r="E15" s="155"/>
      <c r="F15" s="155"/>
      <c r="G15" s="156">
        <f t="shared" si="0"/>
        <v>0</v>
      </c>
      <c r="H15" s="157"/>
      <c r="I15" s="158"/>
      <c r="J15" s="132"/>
      <c r="K15" s="132"/>
      <c r="L15" s="132"/>
      <c r="M15" s="132"/>
      <c r="N15" s="132"/>
      <c r="O15" s="132"/>
      <c r="P15" s="132"/>
      <c r="Q15" s="130"/>
      <c r="R15" s="132"/>
      <c r="S15" s="132"/>
      <c r="T15" s="3" t="s">
        <v>41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</row>
    <row r="16" spans="1:38" ht="17.25" thickBot="1" x14ac:dyDescent="0.35">
      <c r="A16" s="132"/>
      <c r="B16" s="159"/>
      <c r="C16" s="160"/>
      <c r="D16" s="149" t="s">
        <v>60</v>
      </c>
      <c r="E16" s="155"/>
      <c r="F16" s="161"/>
      <c r="G16" s="162">
        <f t="shared" si="0"/>
        <v>0</v>
      </c>
      <c r="H16" s="163"/>
      <c r="I16" s="164"/>
      <c r="J16" s="139"/>
      <c r="K16" s="139"/>
      <c r="L16" s="139"/>
      <c r="M16" s="132"/>
      <c r="N16" s="132"/>
      <c r="O16" s="132"/>
      <c r="P16" s="132"/>
      <c r="Q16" s="130"/>
      <c r="R16" s="132"/>
      <c r="S16" s="132"/>
      <c r="T16" s="3" t="s">
        <v>44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</row>
    <row r="17" spans="1:38" ht="9" customHeight="1" thickBot="1" x14ac:dyDescent="0.3">
      <c r="A17" s="132"/>
      <c r="B17" s="165"/>
      <c r="C17" s="166"/>
      <c r="D17" s="166"/>
      <c r="E17" s="167"/>
      <c r="F17" s="167"/>
      <c r="G17" s="166"/>
      <c r="H17" s="168"/>
      <c r="I17" s="167"/>
      <c r="J17" s="139"/>
      <c r="K17" s="139"/>
      <c r="L17" s="139"/>
      <c r="M17" s="132"/>
      <c r="N17" s="132"/>
      <c r="O17" s="132"/>
      <c r="P17" s="132"/>
      <c r="Q17" s="130"/>
      <c r="R17" s="132"/>
      <c r="S17" s="132"/>
      <c r="T17" s="3" t="s">
        <v>171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1:38" ht="16.5" x14ac:dyDescent="0.3">
      <c r="A18" s="132"/>
      <c r="B18" s="147">
        <v>3</v>
      </c>
      <c r="C18" s="148">
        <f>LOOKUP(B18,'Summary Table'!$B$13:$B$20,'Summary Table'!$E$13:$E$20)</f>
        <v>0</v>
      </c>
      <c r="D18" s="149" t="s">
        <v>60</v>
      </c>
      <c r="E18" s="150"/>
      <c r="F18" s="151"/>
      <c r="G18" s="152">
        <f t="shared" si="0"/>
        <v>0</v>
      </c>
      <c r="H18" s="152">
        <f>MIN(SUM(G18:G20),0.25*C18)</f>
        <v>0</v>
      </c>
      <c r="I18" s="148">
        <f>C18-H18</f>
        <v>0</v>
      </c>
      <c r="J18" s="132"/>
      <c r="K18" s="132"/>
      <c r="L18" s="132"/>
      <c r="M18" s="132"/>
      <c r="N18" s="132"/>
      <c r="O18" s="132"/>
      <c r="P18" s="132"/>
      <c r="Q18" s="130"/>
      <c r="R18" s="132"/>
      <c r="S18" s="132"/>
      <c r="T18" s="3" t="s">
        <v>50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</row>
    <row r="19" spans="1:38" ht="16.5" x14ac:dyDescent="0.3">
      <c r="A19" s="132"/>
      <c r="B19" s="153"/>
      <c r="C19" s="154"/>
      <c r="D19" s="149" t="s">
        <v>60</v>
      </c>
      <c r="E19" s="155"/>
      <c r="F19" s="155"/>
      <c r="G19" s="156">
        <f t="shared" si="0"/>
        <v>0</v>
      </c>
      <c r="H19" s="157"/>
      <c r="I19" s="158"/>
      <c r="J19" s="132"/>
      <c r="K19" s="132"/>
      <c r="L19" s="132"/>
      <c r="M19" s="132"/>
      <c r="N19" s="132"/>
      <c r="O19" s="132"/>
      <c r="P19" s="132"/>
      <c r="Q19" s="130"/>
      <c r="R19" s="132"/>
      <c r="S19" s="132"/>
      <c r="T19" s="3" t="s">
        <v>52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</row>
    <row r="20" spans="1:38" ht="17.25" thickBot="1" x14ac:dyDescent="0.35">
      <c r="A20" s="132"/>
      <c r="B20" s="159"/>
      <c r="C20" s="160"/>
      <c r="D20" s="149" t="s">
        <v>60</v>
      </c>
      <c r="E20" s="155"/>
      <c r="F20" s="161"/>
      <c r="G20" s="162">
        <f t="shared" si="0"/>
        <v>0</v>
      </c>
      <c r="H20" s="163"/>
      <c r="I20" s="164"/>
      <c r="J20" s="139"/>
      <c r="K20" s="139"/>
      <c r="L20" s="139"/>
      <c r="M20" s="132"/>
      <c r="N20" s="132"/>
      <c r="O20" s="132"/>
      <c r="P20" s="132"/>
      <c r="Q20" s="130"/>
      <c r="R20" s="132"/>
      <c r="S20" s="132"/>
      <c r="T20" s="3" t="s">
        <v>54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</row>
    <row r="21" spans="1:38" ht="9" customHeight="1" thickBot="1" x14ac:dyDescent="0.3">
      <c r="A21" s="132"/>
      <c r="B21" s="165"/>
      <c r="C21" s="166"/>
      <c r="D21" s="166"/>
      <c r="E21" s="167"/>
      <c r="F21" s="167"/>
      <c r="G21" s="166"/>
      <c r="H21" s="168"/>
      <c r="I21" s="167"/>
      <c r="J21" s="139"/>
      <c r="K21" s="139"/>
      <c r="L21" s="139"/>
      <c r="M21" s="132"/>
      <c r="N21" s="132"/>
      <c r="O21" s="132"/>
      <c r="P21" s="132"/>
      <c r="Q21" s="130"/>
      <c r="R21" s="132"/>
      <c r="S21" s="132"/>
      <c r="T21" s="3" t="s">
        <v>56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1:38" ht="16.5" x14ac:dyDescent="0.3">
      <c r="A22" s="132"/>
      <c r="B22" s="147">
        <v>4</v>
      </c>
      <c r="C22" s="148">
        <f>LOOKUP(B22,'Summary Table'!$B$13:$B$20,'Summary Table'!$E$13:$E$20)</f>
        <v>0</v>
      </c>
      <c r="D22" s="149" t="s">
        <v>60</v>
      </c>
      <c r="E22" s="150"/>
      <c r="F22" s="151"/>
      <c r="G22" s="152">
        <f t="shared" si="0"/>
        <v>0</v>
      </c>
      <c r="H22" s="152">
        <f>MIN(SUM(G22:G24),0.25*C22)</f>
        <v>0</v>
      </c>
      <c r="I22" s="148">
        <f>C22-H22</f>
        <v>0</v>
      </c>
      <c r="J22" s="132"/>
      <c r="K22" s="132"/>
      <c r="L22" s="132"/>
      <c r="M22" s="132"/>
      <c r="N22" s="132"/>
      <c r="O22" s="132"/>
      <c r="P22" s="132"/>
      <c r="Q22" s="130"/>
      <c r="R22" s="132"/>
      <c r="S22" s="132"/>
      <c r="T22" s="3" t="s">
        <v>58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pans="1:38" ht="16.5" x14ac:dyDescent="0.3">
      <c r="A23" s="132"/>
      <c r="B23" s="153"/>
      <c r="C23" s="154"/>
      <c r="D23" s="149" t="s">
        <v>60</v>
      </c>
      <c r="E23" s="155"/>
      <c r="F23" s="155"/>
      <c r="G23" s="156">
        <f t="shared" si="0"/>
        <v>0</v>
      </c>
      <c r="H23" s="157"/>
      <c r="I23" s="158"/>
      <c r="J23" s="132"/>
      <c r="K23" s="132"/>
      <c r="L23" s="132"/>
      <c r="M23" s="132"/>
      <c r="N23" s="132"/>
      <c r="O23" s="132"/>
      <c r="P23" s="132"/>
      <c r="Q23" s="130"/>
      <c r="R23" s="132"/>
      <c r="S23" s="132"/>
      <c r="T23" s="1" t="s">
        <v>60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</row>
    <row r="24" spans="1:38" ht="17.25" thickBot="1" x14ac:dyDescent="0.35">
      <c r="A24" s="132"/>
      <c r="B24" s="159"/>
      <c r="C24" s="160"/>
      <c r="D24" s="149" t="s">
        <v>60</v>
      </c>
      <c r="E24" s="155"/>
      <c r="F24" s="161"/>
      <c r="G24" s="162">
        <f t="shared" si="0"/>
        <v>0</v>
      </c>
      <c r="H24" s="163"/>
      <c r="I24" s="164"/>
      <c r="J24" s="139"/>
      <c r="K24" s="139"/>
      <c r="L24" s="139"/>
      <c r="M24" s="132"/>
      <c r="N24" s="132"/>
      <c r="O24" s="132"/>
      <c r="P24" s="132"/>
      <c r="Q24" s="130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pans="1:38" ht="9" customHeight="1" thickBot="1" x14ac:dyDescent="0.3">
      <c r="A25" s="132"/>
      <c r="B25" s="165"/>
      <c r="C25" s="166"/>
      <c r="D25" s="166"/>
      <c r="E25" s="167"/>
      <c r="F25" s="167"/>
      <c r="G25" s="166"/>
      <c r="H25" s="168"/>
      <c r="I25" s="167"/>
      <c r="J25" s="139"/>
      <c r="K25" s="139"/>
      <c r="L25" s="139"/>
      <c r="M25" s="132"/>
      <c r="N25" s="132"/>
      <c r="O25" s="132"/>
      <c r="P25" s="132"/>
      <c r="Q25" s="130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pans="1:38" ht="16.5" x14ac:dyDescent="0.3">
      <c r="A26" s="132"/>
      <c r="B26" s="147">
        <v>5</v>
      </c>
      <c r="C26" s="148">
        <f>LOOKUP(B26,'Summary Table'!$B$13:$B$20,'Summary Table'!$E$13:$E$20)</f>
        <v>0</v>
      </c>
      <c r="D26" s="149" t="s">
        <v>60</v>
      </c>
      <c r="E26" s="150"/>
      <c r="F26" s="151"/>
      <c r="G26" s="152">
        <f t="shared" si="0"/>
        <v>0</v>
      </c>
      <c r="H26" s="152">
        <f>MIN(SUM(G26:G28),0.25*C26)</f>
        <v>0</v>
      </c>
      <c r="I26" s="148">
        <f>C26-H26</f>
        <v>0</v>
      </c>
      <c r="J26" s="132"/>
      <c r="K26" s="132"/>
      <c r="L26" s="132"/>
      <c r="M26" s="132"/>
      <c r="N26" s="132"/>
      <c r="O26" s="132"/>
      <c r="P26" s="132"/>
      <c r="Q26" s="130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pans="1:38" ht="16.5" x14ac:dyDescent="0.3">
      <c r="A27" s="132"/>
      <c r="B27" s="153"/>
      <c r="C27" s="154"/>
      <c r="D27" s="149" t="s">
        <v>60</v>
      </c>
      <c r="E27" s="155"/>
      <c r="F27" s="155"/>
      <c r="G27" s="156">
        <f t="shared" si="0"/>
        <v>0</v>
      </c>
      <c r="H27" s="157"/>
      <c r="I27" s="158"/>
      <c r="J27" s="132"/>
      <c r="K27" s="132"/>
      <c r="L27" s="132"/>
      <c r="M27" s="132"/>
      <c r="N27" s="132"/>
      <c r="O27" s="132"/>
      <c r="P27" s="132"/>
      <c r="Q27" s="130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</row>
    <row r="28" spans="1:38" ht="17.25" thickBot="1" x14ac:dyDescent="0.35">
      <c r="A28" s="132"/>
      <c r="B28" s="159"/>
      <c r="C28" s="160"/>
      <c r="D28" s="149" t="s">
        <v>60</v>
      </c>
      <c r="E28" s="155"/>
      <c r="F28" s="161"/>
      <c r="G28" s="162">
        <f t="shared" si="0"/>
        <v>0</v>
      </c>
      <c r="H28" s="163"/>
      <c r="I28" s="164"/>
      <c r="J28" s="139"/>
      <c r="K28" s="139"/>
      <c r="L28" s="139"/>
      <c r="M28" s="132"/>
      <c r="N28" s="132"/>
      <c r="O28" s="132"/>
      <c r="P28" s="132"/>
      <c r="Q28" s="130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</row>
    <row r="29" spans="1:38" ht="9" customHeight="1" thickBot="1" x14ac:dyDescent="0.3">
      <c r="A29" s="132"/>
      <c r="B29" s="165"/>
      <c r="C29" s="166"/>
      <c r="D29" s="166"/>
      <c r="E29" s="167"/>
      <c r="F29" s="167"/>
      <c r="G29" s="167"/>
      <c r="H29" s="169"/>
      <c r="I29" s="167"/>
      <c r="J29" s="139"/>
      <c r="K29" s="139"/>
      <c r="L29" s="139"/>
      <c r="M29" s="132"/>
      <c r="N29" s="132"/>
      <c r="O29" s="132"/>
      <c r="P29" s="132"/>
      <c r="Q29" s="130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</row>
    <row r="30" spans="1:38" ht="16.5" x14ac:dyDescent="0.3">
      <c r="A30" s="132"/>
      <c r="B30" s="147">
        <v>6</v>
      </c>
      <c r="C30" s="148">
        <f>LOOKUP(B30,'Summary Table'!$B$13:$B$20,'Summary Table'!$E$13:$E$20)</f>
        <v>0</v>
      </c>
      <c r="D30" s="149" t="s">
        <v>60</v>
      </c>
      <c r="E30" s="150"/>
      <c r="F30" s="151"/>
      <c r="G30" s="152">
        <f t="shared" si="0"/>
        <v>0</v>
      </c>
      <c r="H30" s="152">
        <f>MIN(SUM(G30:G32),0.25*C30)</f>
        <v>0</v>
      </c>
      <c r="I30" s="148">
        <f>C30-H30</f>
        <v>0</v>
      </c>
      <c r="J30" s="132"/>
      <c r="K30" s="132"/>
      <c r="L30" s="132"/>
      <c r="M30" s="132"/>
      <c r="N30" s="132"/>
      <c r="O30" s="132"/>
      <c r="P30" s="132"/>
      <c r="Q30" s="130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</row>
    <row r="31" spans="1:38" ht="16.5" x14ac:dyDescent="0.3">
      <c r="A31" s="132"/>
      <c r="B31" s="153"/>
      <c r="C31" s="154"/>
      <c r="D31" s="149" t="s">
        <v>60</v>
      </c>
      <c r="E31" s="155"/>
      <c r="F31" s="155"/>
      <c r="G31" s="156">
        <f t="shared" si="0"/>
        <v>0</v>
      </c>
      <c r="H31" s="157"/>
      <c r="I31" s="158"/>
      <c r="J31" s="132"/>
      <c r="K31" s="132"/>
      <c r="L31" s="132"/>
      <c r="M31" s="132"/>
      <c r="N31" s="132"/>
      <c r="O31" s="132"/>
      <c r="P31" s="132"/>
      <c r="Q31" s="130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</row>
    <row r="32" spans="1:38" ht="17.25" thickBot="1" x14ac:dyDescent="0.35">
      <c r="A32" s="132"/>
      <c r="B32" s="159"/>
      <c r="C32" s="160"/>
      <c r="D32" s="149" t="s">
        <v>60</v>
      </c>
      <c r="E32" s="155"/>
      <c r="F32" s="161"/>
      <c r="G32" s="162">
        <f t="shared" si="0"/>
        <v>0</v>
      </c>
      <c r="H32" s="163"/>
      <c r="I32" s="164"/>
      <c r="J32" s="139"/>
      <c r="K32" s="139"/>
      <c r="L32" s="139"/>
      <c r="M32" s="132"/>
      <c r="N32" s="132"/>
      <c r="O32" s="132"/>
      <c r="P32" s="132"/>
      <c r="Q32" s="130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</row>
    <row r="33" spans="1:38" ht="9" customHeight="1" thickBot="1" x14ac:dyDescent="0.3">
      <c r="A33" s="132"/>
      <c r="B33" s="165"/>
      <c r="C33" s="166"/>
      <c r="D33" s="166"/>
      <c r="E33" s="167"/>
      <c r="F33" s="167"/>
      <c r="G33" s="167"/>
      <c r="H33" s="169"/>
      <c r="I33" s="167"/>
      <c r="J33" s="139"/>
      <c r="K33" s="139"/>
      <c r="L33" s="139"/>
      <c r="M33" s="132"/>
      <c r="N33" s="132"/>
      <c r="O33" s="132"/>
      <c r="P33" s="132"/>
      <c r="Q33" s="130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</row>
    <row r="34" spans="1:38" ht="16.5" x14ac:dyDescent="0.3">
      <c r="A34" s="132"/>
      <c r="B34" s="147">
        <v>7</v>
      </c>
      <c r="C34" s="148">
        <f>LOOKUP(B34,'Summary Table'!$B$13:$B$20,'Summary Table'!$E$13:$E$20)</f>
        <v>0</v>
      </c>
      <c r="D34" s="149" t="s">
        <v>60</v>
      </c>
      <c r="E34" s="150"/>
      <c r="F34" s="151"/>
      <c r="G34" s="152">
        <f t="shared" si="0"/>
        <v>0</v>
      </c>
      <c r="H34" s="152">
        <f>MIN(SUM(G34:G36),0.25*C34)</f>
        <v>0</v>
      </c>
      <c r="I34" s="148">
        <f>C34-H34</f>
        <v>0</v>
      </c>
      <c r="J34" s="132"/>
      <c r="K34" s="132"/>
      <c r="L34" s="132"/>
      <c r="M34" s="132"/>
      <c r="N34" s="132"/>
      <c r="O34" s="132"/>
      <c r="P34" s="132"/>
      <c r="Q34" s="130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</row>
    <row r="35" spans="1:38" ht="16.5" x14ac:dyDescent="0.3">
      <c r="A35" s="132"/>
      <c r="B35" s="153"/>
      <c r="C35" s="154"/>
      <c r="D35" s="149" t="s">
        <v>60</v>
      </c>
      <c r="E35" s="155"/>
      <c r="F35" s="155"/>
      <c r="G35" s="156">
        <f t="shared" si="0"/>
        <v>0</v>
      </c>
      <c r="H35" s="157"/>
      <c r="I35" s="158"/>
      <c r="J35" s="132"/>
      <c r="K35" s="132"/>
      <c r="L35" s="132"/>
      <c r="M35" s="132"/>
      <c r="N35" s="132"/>
      <c r="O35" s="132"/>
      <c r="P35" s="132"/>
      <c r="Q35" s="130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</row>
    <row r="36" spans="1:38" ht="17.25" thickBot="1" x14ac:dyDescent="0.35">
      <c r="A36" s="132"/>
      <c r="B36" s="159"/>
      <c r="C36" s="160"/>
      <c r="D36" s="149" t="s">
        <v>60</v>
      </c>
      <c r="E36" s="155"/>
      <c r="F36" s="161"/>
      <c r="G36" s="162">
        <f t="shared" si="0"/>
        <v>0</v>
      </c>
      <c r="H36" s="163"/>
      <c r="I36" s="164"/>
      <c r="J36" s="139"/>
      <c r="K36" s="139"/>
      <c r="L36" s="139"/>
      <c r="M36" s="132"/>
      <c r="N36" s="132"/>
      <c r="O36" s="132"/>
      <c r="P36" s="132"/>
      <c r="Q36" s="170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</row>
    <row r="37" spans="1:38" ht="9" customHeight="1" thickBot="1" x14ac:dyDescent="0.3">
      <c r="A37" s="132"/>
      <c r="B37" s="165"/>
      <c r="C37" s="166"/>
      <c r="D37" s="166"/>
      <c r="E37" s="167"/>
      <c r="F37" s="167"/>
      <c r="G37" s="167"/>
      <c r="H37" s="169"/>
      <c r="I37" s="167"/>
      <c r="J37" s="139"/>
      <c r="K37" s="139"/>
      <c r="L37" s="139"/>
      <c r="M37" s="132"/>
      <c r="N37" s="132"/>
      <c r="O37" s="132"/>
      <c r="P37" s="132"/>
      <c r="Q37" s="130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</row>
    <row r="38" spans="1:38" ht="16.5" x14ac:dyDescent="0.3">
      <c r="A38" s="132"/>
      <c r="B38" s="147">
        <v>8</v>
      </c>
      <c r="C38" s="148">
        <f>LOOKUP(B38,'Summary Table'!$B$13:$B$20,'Summary Table'!$E$13:$E$20)</f>
        <v>0</v>
      </c>
      <c r="D38" s="149" t="s">
        <v>60</v>
      </c>
      <c r="E38" s="150"/>
      <c r="F38" s="151"/>
      <c r="G38" s="152">
        <f t="shared" si="0"/>
        <v>0</v>
      </c>
      <c r="H38" s="152">
        <f>MIN(SUM(G38:G40),0.25*C38)</f>
        <v>0</v>
      </c>
      <c r="I38" s="148">
        <f>C38-H38</f>
        <v>0</v>
      </c>
      <c r="J38" s="132"/>
      <c r="K38" s="132"/>
      <c r="L38" s="132"/>
      <c r="M38" s="132"/>
      <c r="N38" s="132"/>
      <c r="O38" s="132"/>
      <c r="P38" s="132"/>
      <c r="Q38" s="170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</row>
    <row r="39" spans="1:38" ht="16.5" x14ac:dyDescent="0.3">
      <c r="A39" s="132"/>
      <c r="B39" s="153"/>
      <c r="C39" s="154"/>
      <c r="D39" s="149" t="s">
        <v>60</v>
      </c>
      <c r="E39" s="155"/>
      <c r="F39" s="155"/>
      <c r="G39" s="156">
        <f t="shared" si="0"/>
        <v>0</v>
      </c>
      <c r="H39" s="157"/>
      <c r="I39" s="158"/>
      <c r="J39" s="132"/>
      <c r="K39" s="132"/>
      <c r="L39" s="132"/>
      <c r="M39" s="132"/>
      <c r="N39" s="132"/>
      <c r="O39" s="132"/>
      <c r="P39" s="132"/>
      <c r="Q39" s="130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</row>
    <row r="40" spans="1:38" ht="17.25" thickBot="1" x14ac:dyDescent="0.35">
      <c r="A40" s="132"/>
      <c r="B40" s="159"/>
      <c r="C40" s="160"/>
      <c r="D40" s="149" t="s">
        <v>60</v>
      </c>
      <c r="E40" s="155"/>
      <c r="F40" s="161"/>
      <c r="G40" s="162">
        <f t="shared" si="0"/>
        <v>0</v>
      </c>
      <c r="H40" s="163"/>
      <c r="I40" s="164"/>
      <c r="J40" s="139"/>
      <c r="K40" s="139"/>
      <c r="L40" s="139"/>
      <c r="M40" s="132"/>
      <c r="N40" s="132"/>
      <c r="O40" s="132"/>
      <c r="P40" s="132"/>
      <c r="Q40" s="130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</row>
    <row r="41" spans="1:38" ht="9" customHeight="1" thickBot="1" x14ac:dyDescent="0.3">
      <c r="A41" s="132"/>
      <c r="B41" s="165"/>
      <c r="C41" s="166"/>
      <c r="D41" s="166"/>
      <c r="E41" s="167"/>
      <c r="F41" s="167"/>
      <c r="G41" s="167"/>
      <c r="H41" s="169"/>
      <c r="I41" s="167"/>
      <c r="J41" s="132"/>
      <c r="K41" s="132"/>
      <c r="L41" s="132"/>
      <c r="M41" s="132"/>
      <c r="N41" s="132"/>
      <c r="O41" s="132"/>
      <c r="P41" s="132"/>
      <c r="Q41" s="130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</row>
    <row r="42" spans="1:38" ht="16.5" x14ac:dyDescent="0.3">
      <c r="A42" s="171"/>
      <c r="B42" s="172"/>
      <c r="C42" s="132"/>
      <c r="D42" s="132"/>
      <c r="E42" s="173"/>
      <c r="F42" s="132"/>
      <c r="G42" s="174"/>
      <c r="H42" s="173"/>
      <c r="I42" s="175"/>
      <c r="J42" s="132"/>
      <c r="K42" s="132"/>
      <c r="L42" s="132"/>
      <c r="M42" s="132"/>
      <c r="N42" s="132"/>
      <c r="O42" s="132"/>
      <c r="P42" s="176"/>
      <c r="Q42" s="170"/>
      <c r="R42" s="132"/>
      <c r="S42" s="132"/>
      <c r="T42" s="132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</row>
    <row r="43" spans="1:38" ht="17.25" thickBot="1" x14ac:dyDescent="0.35">
      <c r="A43" s="171"/>
      <c r="B43" s="177"/>
      <c r="C43" s="178"/>
      <c r="D43" s="178"/>
      <c r="E43" s="179"/>
      <c r="F43" s="343" t="s">
        <v>95</v>
      </c>
      <c r="G43" s="178"/>
      <c r="H43" s="397">
        <f>SUM(H10:H40)</f>
        <v>0</v>
      </c>
      <c r="I43" s="181"/>
      <c r="J43" s="132"/>
      <c r="K43" s="132"/>
      <c r="L43" s="132"/>
      <c r="M43" s="132"/>
      <c r="N43" s="132"/>
      <c r="O43" s="132"/>
      <c r="P43" s="176"/>
      <c r="Q43" s="170"/>
      <c r="R43" s="132"/>
      <c r="S43" s="132"/>
      <c r="T43" s="132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</row>
    <row r="44" spans="1:38" ht="16.5" x14ac:dyDescent="0.3">
      <c r="A44" s="171"/>
      <c r="B44" s="132"/>
      <c r="C44" s="132"/>
      <c r="D44" s="132"/>
      <c r="E44" s="173"/>
      <c r="F44" s="132"/>
      <c r="G44" s="132"/>
      <c r="H44" s="173"/>
      <c r="I44" s="132"/>
      <c r="J44" s="132"/>
      <c r="K44" s="132"/>
      <c r="L44" s="132"/>
      <c r="M44" s="132"/>
      <c r="N44" s="132"/>
      <c r="O44" s="132"/>
      <c r="P44" s="176"/>
      <c r="Q44" s="170"/>
      <c r="R44" s="132"/>
      <c r="S44" s="132"/>
      <c r="T44" s="132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</row>
    <row r="45" spans="1:38" ht="16.5" x14ac:dyDescent="0.3">
      <c r="A45" s="171"/>
      <c r="B45" s="132"/>
      <c r="C45" s="132"/>
      <c r="D45" s="132"/>
      <c r="E45" s="173"/>
      <c r="F45" s="132"/>
      <c r="G45" s="132"/>
      <c r="H45" s="173"/>
      <c r="I45" s="132"/>
      <c r="J45" s="132"/>
      <c r="K45" s="132"/>
      <c r="L45" s="132"/>
      <c r="M45" s="132"/>
      <c r="N45" s="132"/>
      <c r="O45" s="132"/>
      <c r="P45" s="176"/>
      <c r="Q45" s="170"/>
      <c r="R45" s="132"/>
      <c r="S45" s="132"/>
      <c r="T45" s="132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</row>
  </sheetData>
  <sheetProtection algorithmName="SHA-512" hashValue="lqq+LjyI5CVjkMPKqb9OApjC65kOtO5lCiR2BpM/pdKJ8bkrbEbCCjno14q7P3Dy4gXE4pe96/0J7r/hO4kBFg==" saltValue="NB1AzF4H0Ldip5YyWf3pBw==" spinCount="100000" sheet="1" objects="1" scenarios="1" selectLockedCells="1"/>
  <mergeCells count="4">
    <mergeCell ref="C1:D1"/>
    <mergeCell ref="C2:D2"/>
    <mergeCell ref="C3:D3"/>
    <mergeCell ref="B7:I7"/>
  </mergeCells>
  <dataValidations count="1">
    <dataValidation type="list" allowBlank="1" showInputMessage="1" showErrorMessage="1" sqref="D10:D12 D34:D36 D30:D32 D26:D28 D22:D24 D18:D20 D14:D16 D38:D40">
      <formula1>$T$15:$T$23</formula1>
    </dataValidation>
  </dataValidations>
  <printOptions horizontalCentered="1"/>
  <pageMargins left="0.45" right="0.45" top="0.5" bottom="0.5" header="0.3" footer="0.3"/>
  <pageSetup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V53"/>
  <sheetViews>
    <sheetView zoomScaleNormal="100" workbookViewId="0">
      <selection activeCell="C11" sqref="C11"/>
    </sheetView>
  </sheetViews>
  <sheetFormatPr defaultRowHeight="15" x14ac:dyDescent="0.25"/>
  <cols>
    <col min="1" max="1" width="11.42578125" customWidth="1"/>
    <col min="2" max="2" width="18.7109375" customWidth="1"/>
    <col min="3" max="3" width="41" customWidth="1"/>
    <col min="4" max="4" width="11.28515625" customWidth="1"/>
    <col min="5" max="5" width="16.42578125" customWidth="1"/>
    <col min="6" max="6" width="12.7109375" customWidth="1"/>
    <col min="7" max="8" width="12" customWidth="1"/>
    <col min="9" max="9" width="12.28515625" customWidth="1"/>
    <col min="10" max="10" width="15" customWidth="1"/>
    <col min="11" max="11" width="12.42578125" customWidth="1"/>
    <col min="12" max="13" width="14" customWidth="1"/>
    <col min="14" max="14" width="13" customWidth="1"/>
    <col min="15" max="15" width="43.5703125" customWidth="1"/>
    <col min="16" max="17" width="11.42578125" customWidth="1"/>
    <col min="18" max="21" width="9.140625" hidden="1" customWidth="1"/>
    <col min="22" max="27" width="0" hidden="1" customWidth="1"/>
  </cols>
  <sheetData>
    <row r="1" spans="1:48" ht="18" x14ac:dyDescent="0.3">
      <c r="A1" s="115"/>
      <c r="B1" s="116" t="s">
        <v>0</v>
      </c>
      <c r="C1" s="360" t="str">
        <f>'Worksheet 1 (SOV and SCM AREA)'!C1</f>
        <v>Example Project</v>
      </c>
      <c r="D1" s="360"/>
      <c r="E1" s="360"/>
      <c r="F1" s="126"/>
      <c r="G1" s="118"/>
      <c r="H1" s="118"/>
      <c r="I1" s="115"/>
      <c r="J1" s="133"/>
      <c r="K1" s="132"/>
      <c r="L1" s="132"/>
      <c r="M1" s="132"/>
      <c r="N1" s="182" t="s">
        <v>148</v>
      </c>
      <c r="O1" s="183"/>
      <c r="P1" s="118"/>
      <c r="Q1" s="118"/>
      <c r="R1" s="123"/>
      <c r="S1" s="124"/>
      <c r="T1" s="126" t="s">
        <v>3</v>
      </c>
      <c r="U1" s="118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</row>
    <row r="2" spans="1:48" ht="17.25" thickBot="1" x14ac:dyDescent="0.35">
      <c r="A2" s="115"/>
      <c r="B2" s="116" t="s">
        <v>4</v>
      </c>
      <c r="C2" s="361">
        <f>'Worksheet 1 (SOV and SCM AREA)'!C2</f>
        <v>43068</v>
      </c>
      <c r="D2" s="361"/>
      <c r="E2" s="361"/>
      <c r="F2" s="126"/>
      <c r="G2" s="126"/>
      <c r="H2" s="126"/>
      <c r="I2" s="115"/>
      <c r="J2" s="184"/>
      <c r="K2" s="184"/>
      <c r="L2" s="184"/>
      <c r="M2" s="184"/>
      <c r="N2" s="184"/>
      <c r="O2" s="183"/>
      <c r="P2" s="118"/>
      <c r="Q2" s="118"/>
      <c r="R2" s="123"/>
      <c r="S2" s="124"/>
      <c r="T2" s="118"/>
      <c r="U2" s="118"/>
      <c r="V2" s="118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</row>
    <row r="3" spans="1:48" ht="16.5" x14ac:dyDescent="0.3">
      <c r="A3" s="115"/>
      <c r="B3" s="116" t="s">
        <v>5</v>
      </c>
      <c r="C3" s="360" t="str">
        <f>'Worksheet 1 (SOV and SCM AREA)'!C3</f>
        <v>I. B. A'Designer</v>
      </c>
      <c r="D3" s="360"/>
      <c r="E3" s="360"/>
      <c r="F3" s="365" t="s">
        <v>164</v>
      </c>
      <c r="G3" s="366"/>
      <c r="H3" s="366"/>
      <c r="I3" s="366"/>
      <c r="J3" s="366"/>
      <c r="K3" s="366"/>
      <c r="L3" s="366"/>
      <c r="M3" s="367"/>
      <c r="N3" s="294"/>
      <c r="O3" s="183"/>
      <c r="P3" s="118"/>
      <c r="Q3" s="118"/>
      <c r="R3" s="123"/>
      <c r="S3" s="124"/>
      <c r="T3" s="118"/>
      <c r="U3" s="118"/>
      <c r="V3" s="118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</row>
    <row r="4" spans="1:48" ht="17.25" thickBot="1" x14ac:dyDescent="0.35">
      <c r="A4" s="115"/>
      <c r="B4" s="115"/>
      <c r="C4" s="115"/>
      <c r="D4" s="185"/>
      <c r="E4" s="184"/>
      <c r="F4" s="368" t="s">
        <v>170</v>
      </c>
      <c r="G4" s="369"/>
      <c r="H4" s="369"/>
      <c r="I4" s="369"/>
      <c r="J4" s="369"/>
      <c r="K4" s="369"/>
      <c r="L4" s="369"/>
      <c r="M4" s="370"/>
      <c r="N4" s="294"/>
      <c r="O4" s="183"/>
      <c r="P4" s="118"/>
      <c r="Q4" s="118"/>
      <c r="R4" s="118"/>
      <c r="S4" s="130" t="s">
        <v>2</v>
      </c>
      <c r="T4" s="118"/>
      <c r="U4" s="118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</row>
    <row r="5" spans="1:48" ht="17.25" thickBot="1" x14ac:dyDescent="0.35">
      <c r="A5" s="115"/>
      <c r="B5" s="137"/>
      <c r="C5" s="118" t="s">
        <v>6</v>
      </c>
      <c r="D5" s="186"/>
      <c r="E5" s="184"/>
      <c r="F5" s="292"/>
      <c r="G5" s="292"/>
      <c r="H5" s="292"/>
      <c r="I5" s="293"/>
      <c r="J5" s="292"/>
      <c r="K5" s="292"/>
      <c r="L5" s="292"/>
      <c r="M5" s="292"/>
      <c r="N5" s="294"/>
      <c r="O5" s="183"/>
      <c r="P5" s="118"/>
      <c r="Q5" s="118"/>
      <c r="R5" s="118"/>
      <c r="S5" s="130"/>
      <c r="T5" s="118"/>
      <c r="U5" s="118"/>
      <c r="V5" s="118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</row>
    <row r="6" spans="1:48" ht="16.5" x14ac:dyDescent="0.3">
      <c r="A6" s="115"/>
      <c r="B6" s="115"/>
      <c r="C6" s="115"/>
      <c r="D6" s="185"/>
      <c r="E6" s="184"/>
      <c r="F6" s="398" t="s">
        <v>173</v>
      </c>
      <c r="G6" s="399"/>
      <c r="H6" s="399"/>
      <c r="I6" s="399"/>
      <c r="J6" s="399"/>
      <c r="K6" s="399"/>
      <c r="L6" s="399"/>
      <c r="M6" s="400"/>
      <c r="N6" s="294"/>
      <c r="O6" s="183"/>
      <c r="P6" s="118"/>
      <c r="Q6" s="118"/>
      <c r="R6" s="123"/>
      <c r="S6" s="124"/>
      <c r="T6" s="118"/>
      <c r="U6" s="118"/>
      <c r="V6" s="118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</row>
    <row r="7" spans="1:48" ht="17.25" thickBot="1" x14ac:dyDescent="0.35">
      <c r="A7" s="115"/>
      <c r="B7" s="126"/>
      <c r="C7" s="126"/>
      <c r="D7" s="187"/>
      <c r="E7" s="126"/>
      <c r="F7" s="401" t="s">
        <v>172</v>
      </c>
      <c r="G7" s="402"/>
      <c r="H7" s="402"/>
      <c r="I7" s="402"/>
      <c r="J7" s="402"/>
      <c r="K7" s="402"/>
      <c r="L7" s="402"/>
      <c r="M7" s="403"/>
      <c r="N7" s="184"/>
      <c r="O7" s="183"/>
      <c r="P7" s="115"/>
      <c r="Q7" s="118"/>
      <c r="R7" s="118"/>
      <c r="S7" s="136"/>
      <c r="T7" s="118"/>
      <c r="U7" s="118"/>
      <c r="V7" s="118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</row>
    <row r="8" spans="1:48" ht="17.25" thickBot="1" x14ac:dyDescent="0.35">
      <c r="A8" s="171"/>
      <c r="B8" s="173"/>
      <c r="C8" s="173"/>
      <c r="D8" s="188"/>
      <c r="E8" s="173"/>
      <c r="F8" s="173"/>
      <c r="G8" s="173"/>
      <c r="H8" s="173"/>
      <c r="I8" s="173"/>
      <c r="J8" s="189"/>
      <c r="K8" s="173"/>
      <c r="L8" s="173"/>
      <c r="M8" s="173"/>
      <c r="N8" s="173"/>
      <c r="O8" s="190"/>
      <c r="P8" s="171"/>
      <c r="Q8" s="171"/>
      <c r="R8" s="171"/>
      <c r="S8" s="19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</row>
    <row r="9" spans="1:48" ht="42" customHeight="1" x14ac:dyDescent="0.3">
      <c r="A9" s="171"/>
      <c r="B9" s="140" t="s">
        <v>85</v>
      </c>
      <c r="C9" s="141" t="s">
        <v>96</v>
      </c>
      <c r="D9" s="142" t="s">
        <v>97</v>
      </c>
      <c r="E9" s="192" t="s">
        <v>98</v>
      </c>
      <c r="F9" s="141" t="s">
        <v>99</v>
      </c>
      <c r="G9" s="141" t="s">
        <v>100</v>
      </c>
      <c r="H9" s="141" t="s">
        <v>101</v>
      </c>
      <c r="I9" s="142" t="s">
        <v>102</v>
      </c>
      <c r="J9" s="142" t="s">
        <v>103</v>
      </c>
      <c r="K9" s="142" t="s">
        <v>104</v>
      </c>
      <c r="L9" s="141" t="s">
        <v>92</v>
      </c>
      <c r="M9" s="193" t="s">
        <v>169</v>
      </c>
      <c r="N9" s="194" t="s">
        <v>105</v>
      </c>
      <c r="O9" s="190"/>
      <c r="P9" s="171"/>
      <c r="Q9" s="171"/>
      <c r="R9" s="171"/>
      <c r="S9" s="195" t="s">
        <v>106</v>
      </c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</row>
    <row r="10" spans="1:48" ht="18.75" thickBot="1" x14ac:dyDescent="0.35">
      <c r="A10" s="171"/>
      <c r="B10" s="143"/>
      <c r="C10" s="145"/>
      <c r="D10" s="196" t="s">
        <v>107</v>
      </c>
      <c r="E10" s="197"/>
      <c r="F10" s="144" t="s">
        <v>94</v>
      </c>
      <c r="G10" s="144" t="s">
        <v>108</v>
      </c>
      <c r="H10" s="144" t="s">
        <v>109</v>
      </c>
      <c r="I10" s="144" t="s">
        <v>93</v>
      </c>
      <c r="J10" s="144" t="s">
        <v>94</v>
      </c>
      <c r="K10" s="144" t="s">
        <v>93</v>
      </c>
      <c r="L10" s="144" t="s">
        <v>93</v>
      </c>
      <c r="M10" s="198" t="s">
        <v>110</v>
      </c>
      <c r="N10" s="199"/>
      <c r="O10" s="190"/>
      <c r="P10" s="171"/>
      <c r="Q10" s="171"/>
      <c r="R10" s="171"/>
      <c r="S10" s="136" t="s">
        <v>111</v>
      </c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</row>
    <row r="11" spans="1:48" ht="16.5" x14ac:dyDescent="0.3">
      <c r="A11" s="171"/>
      <c r="B11" s="147">
        <v>1</v>
      </c>
      <c r="C11" s="200" t="s">
        <v>106</v>
      </c>
      <c r="D11" s="201"/>
      <c r="E11" s="202" t="s">
        <v>113</v>
      </c>
      <c r="F11" s="151"/>
      <c r="G11" s="203"/>
      <c r="H11" s="204">
        <f>IF(G11=0,0,1)</f>
        <v>0</v>
      </c>
      <c r="I11" s="148">
        <f>F11*G11*H11</f>
        <v>0</v>
      </c>
      <c r="J11" s="148">
        <f>IF(F13&gt;0,F13,F12)</f>
        <v>0</v>
      </c>
      <c r="K11" s="148">
        <f>SUM(I11:I13)</f>
        <v>0</v>
      </c>
      <c r="L11" s="205">
        <f>'Worksheet 2 Restorative Credits'!I10</f>
        <v>0</v>
      </c>
      <c r="M11" s="206" t="str">
        <f>IF(D11&gt;0,((G11*H11*12+G12*H12*12+G13*H13*12)/D11),"-")</f>
        <v>-</v>
      </c>
      <c r="N11" s="207" t="str">
        <f>IF(J11=0,"N/A",(LOOKUP(B11,'Summary Table'!$B$13:$B$20,'Summary Table'!$D$13:$D$20)/('Worksheet 3 (SCM Sizing)'!J11)))</f>
        <v>N/A</v>
      </c>
      <c r="O11" s="222" t="str">
        <f>IF(K11=0, " ",IF(M11&gt;72,"Drawdown Time Exceeded if G. I. Used"," "))</f>
        <v xml:space="preserve"> </v>
      </c>
      <c r="P11" s="171"/>
      <c r="Q11" s="171"/>
      <c r="R11" s="171"/>
      <c r="S11" s="136" t="s">
        <v>112</v>
      </c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</row>
    <row r="12" spans="1:48" ht="16.5" x14ac:dyDescent="0.3">
      <c r="A12" s="171"/>
      <c r="B12" s="153"/>
      <c r="C12" s="154"/>
      <c r="D12" s="209"/>
      <c r="E12" s="154" t="s">
        <v>114</v>
      </c>
      <c r="F12" s="155"/>
      <c r="G12" s="210"/>
      <c r="H12" s="211">
        <f>IF(G12=0,0,0.2)</f>
        <v>0</v>
      </c>
      <c r="I12" s="158">
        <f t="shared" ref="I12:I41" si="0">F12*G12*H12</f>
        <v>0</v>
      </c>
      <c r="J12" s="158"/>
      <c r="K12" s="158"/>
      <c r="L12" s="154"/>
      <c r="M12" s="222"/>
      <c r="N12" s="213"/>
      <c r="O12" s="222" t="str">
        <f>IF(K11=0, " ",IF(N11&gt;'Worksheet 1 (SOV and SCM AREA)'!$F$9,"Loading Ratio Exceeded"," "))</f>
        <v xml:space="preserve"> </v>
      </c>
      <c r="P12" s="171"/>
      <c r="Q12" s="171"/>
      <c r="R12" s="171"/>
      <c r="S12" s="136" t="s">
        <v>115</v>
      </c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</row>
    <row r="13" spans="1:48" ht="17.25" thickBot="1" x14ac:dyDescent="0.35">
      <c r="A13" s="171"/>
      <c r="B13" s="159"/>
      <c r="C13" s="160"/>
      <c r="D13" s="214"/>
      <c r="E13" s="160" t="s">
        <v>116</v>
      </c>
      <c r="F13" s="161"/>
      <c r="G13" s="215"/>
      <c r="H13" s="216">
        <f>IF(G13=0,0,0.4)</f>
        <v>0</v>
      </c>
      <c r="I13" s="164">
        <f t="shared" si="0"/>
        <v>0</v>
      </c>
      <c r="J13" s="164"/>
      <c r="K13" s="164"/>
      <c r="L13" s="160"/>
      <c r="M13" s="217"/>
      <c r="N13" s="218"/>
      <c r="O13" s="222" t="str">
        <f>IF(K11=0, " ",IF(G11&gt;1,"Surface Storage Depth Must be 1.0' or Less"," "))</f>
        <v xml:space="preserve"> </v>
      </c>
      <c r="P13" s="171"/>
      <c r="Q13" s="171"/>
      <c r="R13" s="171"/>
      <c r="S13" s="136" t="s">
        <v>117</v>
      </c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</row>
    <row r="14" spans="1:48" ht="17.25" thickBot="1" x14ac:dyDescent="0.35">
      <c r="A14" s="171"/>
      <c r="B14" s="165"/>
      <c r="C14" s="166"/>
      <c r="D14" s="219"/>
      <c r="E14" s="166"/>
      <c r="F14" s="167"/>
      <c r="G14" s="166"/>
      <c r="H14" s="168"/>
      <c r="I14" s="167"/>
      <c r="J14" s="167"/>
      <c r="K14" s="167"/>
      <c r="L14" s="166"/>
      <c r="M14" s="166"/>
      <c r="N14" s="220"/>
      <c r="O14" s="190"/>
      <c r="P14" s="171"/>
      <c r="Q14" s="171"/>
      <c r="R14" s="171"/>
      <c r="S14" s="136" t="s">
        <v>118</v>
      </c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</row>
    <row r="15" spans="1:48" ht="16.5" x14ac:dyDescent="0.3">
      <c r="A15" s="171"/>
      <c r="B15" s="147">
        <v>2</v>
      </c>
      <c r="C15" s="200" t="s">
        <v>106</v>
      </c>
      <c r="D15" s="201"/>
      <c r="E15" s="202" t="s">
        <v>113</v>
      </c>
      <c r="F15" s="151"/>
      <c r="G15" s="203"/>
      <c r="H15" s="204">
        <f>IF(G15=0,0,1)</f>
        <v>0</v>
      </c>
      <c r="I15" s="148">
        <f t="shared" si="0"/>
        <v>0</v>
      </c>
      <c r="J15" s="148">
        <f>IF(F17&gt;0,F17,F16)</f>
        <v>0</v>
      </c>
      <c r="K15" s="148">
        <f>SUM(I15:I17)</f>
        <v>0</v>
      </c>
      <c r="L15" s="205">
        <f>'Worksheet 2 Restorative Credits'!I14</f>
        <v>0</v>
      </c>
      <c r="M15" s="206" t="str">
        <f>IF(D15&gt;0,((G15*H15*12+G16*H16*12+G17*H17*12)/D15),"-")</f>
        <v>-</v>
      </c>
      <c r="N15" s="207" t="str">
        <f>IF(J15=0,"N/A",(LOOKUP(B15,'Summary Table'!$B$13:$B$20,'Summary Table'!$D$13:$D$20)/('Worksheet 3 (SCM Sizing)'!J15)))</f>
        <v>N/A</v>
      </c>
      <c r="O15" s="222" t="str">
        <f>IF(K15=0, " ",IF(M15&gt;72,"Drawdown Time Exceeded if G. I. Used"," "))</f>
        <v xml:space="preserve"> </v>
      </c>
      <c r="P15" s="171"/>
      <c r="Q15" s="171"/>
      <c r="R15" s="171"/>
      <c r="S15" s="136" t="s">
        <v>119</v>
      </c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</row>
    <row r="16" spans="1:48" ht="16.5" x14ac:dyDescent="0.3">
      <c r="A16" s="171"/>
      <c r="B16" s="153"/>
      <c r="C16" s="154"/>
      <c r="D16" s="209"/>
      <c r="E16" s="154" t="s">
        <v>114</v>
      </c>
      <c r="F16" s="155"/>
      <c r="G16" s="210"/>
      <c r="H16" s="211">
        <f>IF(G16=0,0,0.2)</f>
        <v>0</v>
      </c>
      <c r="I16" s="158">
        <f t="shared" si="0"/>
        <v>0</v>
      </c>
      <c r="J16" s="158"/>
      <c r="K16" s="158"/>
      <c r="L16" s="154"/>
      <c r="M16" s="212"/>
      <c r="N16" s="213"/>
      <c r="O16" s="222" t="str">
        <f>IF(K15=0, " ",IF(N15&gt;'Worksheet 1 (SOV and SCM AREA)'!$F$9,"Loading Ratio Exceeded"," "))</f>
        <v xml:space="preserve"> </v>
      </c>
      <c r="P16" s="171"/>
      <c r="Q16" s="171"/>
      <c r="R16" s="171"/>
      <c r="S16" s="221" t="s">
        <v>120</v>
      </c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</row>
    <row r="17" spans="1:48" ht="17.25" thickBot="1" x14ac:dyDescent="0.35">
      <c r="A17" s="171"/>
      <c r="B17" s="159"/>
      <c r="C17" s="160"/>
      <c r="D17" s="214"/>
      <c r="E17" s="160" t="s">
        <v>116</v>
      </c>
      <c r="F17" s="161"/>
      <c r="G17" s="215"/>
      <c r="H17" s="216">
        <f>IF(G17=0,0,0.4)</f>
        <v>0</v>
      </c>
      <c r="I17" s="164">
        <f t="shared" si="0"/>
        <v>0</v>
      </c>
      <c r="J17" s="164"/>
      <c r="K17" s="164"/>
      <c r="L17" s="160"/>
      <c r="M17" s="217"/>
      <c r="N17" s="218"/>
      <c r="O17" s="222" t="str">
        <f>IF(K15=0, " ",IF(G15&gt;1,"Surface Storage Depth Must be 1.0' or Less"," "))</f>
        <v xml:space="preserve"> </v>
      </c>
      <c r="P17" s="171"/>
      <c r="Q17" s="171"/>
      <c r="R17" s="171"/>
      <c r="S17" s="170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</row>
    <row r="18" spans="1:48" ht="17.25" thickBot="1" x14ac:dyDescent="0.35">
      <c r="A18" s="171"/>
      <c r="B18" s="165"/>
      <c r="C18" s="166"/>
      <c r="D18" s="219"/>
      <c r="E18" s="166"/>
      <c r="F18" s="167"/>
      <c r="G18" s="166"/>
      <c r="H18" s="168"/>
      <c r="I18" s="167"/>
      <c r="J18" s="167"/>
      <c r="K18" s="167"/>
      <c r="L18" s="166"/>
      <c r="M18" s="166"/>
      <c r="N18" s="220"/>
      <c r="O18" s="190"/>
      <c r="P18" s="171"/>
      <c r="Q18" s="171"/>
      <c r="R18" s="171"/>
      <c r="S18" s="19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</row>
    <row r="19" spans="1:48" ht="16.5" x14ac:dyDescent="0.3">
      <c r="A19" s="171"/>
      <c r="B19" s="147">
        <v>3</v>
      </c>
      <c r="C19" s="200" t="s">
        <v>106</v>
      </c>
      <c r="D19" s="201"/>
      <c r="E19" s="202" t="s">
        <v>113</v>
      </c>
      <c r="F19" s="151"/>
      <c r="G19" s="203"/>
      <c r="H19" s="204">
        <f>IF(G19=0,0,1)</f>
        <v>0</v>
      </c>
      <c r="I19" s="148">
        <f t="shared" si="0"/>
        <v>0</v>
      </c>
      <c r="J19" s="148">
        <f>IF(F21&gt;0,F21,F20)</f>
        <v>0</v>
      </c>
      <c r="K19" s="148">
        <f>SUM(I19:I21)</f>
        <v>0</v>
      </c>
      <c r="L19" s="205">
        <f>'Worksheet 2 Restorative Credits'!I18</f>
        <v>0</v>
      </c>
      <c r="M19" s="206" t="str">
        <f>IF(D19&gt;0,((G19*H19*12+G20*H20*12+G21*H21*12)/D19),"-")</f>
        <v>-</v>
      </c>
      <c r="N19" s="207" t="str">
        <f>IF(J19=0,"N/A",(LOOKUP(B19,'Summary Table'!$B$13:$B$20,'Summary Table'!$D$13:$D$20)/('Worksheet 3 (SCM Sizing)'!J19)))</f>
        <v>N/A</v>
      </c>
      <c r="O19" s="222" t="str">
        <f>IF(K19=0, " ",IF(M19&gt;72,"Drawdown Time Exceeded if G. I. Used"," "))</f>
        <v xml:space="preserve"> </v>
      </c>
      <c r="P19" s="171"/>
      <c r="Q19" s="171"/>
      <c r="R19" s="171"/>
      <c r="S19" s="290" t="s">
        <v>160</v>
      </c>
      <c r="T19" s="291" t="s">
        <v>161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</row>
    <row r="20" spans="1:48" ht="16.5" x14ac:dyDescent="0.3">
      <c r="A20" s="171"/>
      <c r="B20" s="153"/>
      <c r="C20" s="154"/>
      <c r="D20" s="209"/>
      <c r="E20" s="154" t="s">
        <v>114</v>
      </c>
      <c r="F20" s="155"/>
      <c r="G20" s="210"/>
      <c r="H20" s="211">
        <f>IF(G20=0,0,0.2)</f>
        <v>0</v>
      </c>
      <c r="I20" s="158">
        <f t="shared" si="0"/>
        <v>0</v>
      </c>
      <c r="J20" s="158"/>
      <c r="K20" s="158"/>
      <c r="L20" s="154"/>
      <c r="M20" s="212"/>
      <c r="N20" s="213"/>
      <c r="O20" s="222" t="str">
        <f>IF(K19=0, " ",IF(N19&gt;'Worksheet 1 (SOV and SCM AREA)'!$F$9,"Loading Ratio Exceeded"," "))</f>
        <v xml:space="preserve"> </v>
      </c>
      <c r="P20" s="171"/>
      <c r="Q20" s="171"/>
      <c r="R20" s="171"/>
      <c r="S20" s="191">
        <v>1</v>
      </c>
      <c r="T20" s="171">
        <f>IF(F13=0,(D11*F12),(D11*F13))</f>
        <v>0</v>
      </c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</row>
    <row r="21" spans="1:48" ht="17.25" thickBot="1" x14ac:dyDescent="0.35">
      <c r="A21" s="171"/>
      <c r="B21" s="159"/>
      <c r="C21" s="160"/>
      <c r="D21" s="214"/>
      <c r="E21" s="160" t="s">
        <v>116</v>
      </c>
      <c r="F21" s="161"/>
      <c r="G21" s="215"/>
      <c r="H21" s="216">
        <f>IF(G21=0,0,0.4)</f>
        <v>0</v>
      </c>
      <c r="I21" s="164">
        <f t="shared" si="0"/>
        <v>0</v>
      </c>
      <c r="J21" s="164"/>
      <c r="K21" s="164"/>
      <c r="L21" s="160"/>
      <c r="M21" s="217"/>
      <c r="N21" s="218"/>
      <c r="O21" s="222" t="str">
        <f>IF(K19=0, " ",IF(G19&gt;1,"Surface Storage Depth Must be 1.0' or Less"," "))</f>
        <v xml:space="preserve"> </v>
      </c>
      <c r="P21" s="132"/>
      <c r="Q21" s="132"/>
      <c r="R21" s="176"/>
      <c r="S21" s="170">
        <v>2</v>
      </c>
      <c r="T21" s="171">
        <f>IF(F17=0,(D15*F16),(D15*F17))</f>
        <v>0</v>
      </c>
      <c r="U21" s="132"/>
      <c r="V21" s="132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</row>
    <row r="22" spans="1:48" ht="17.25" thickBot="1" x14ac:dyDescent="0.35">
      <c r="A22" s="171"/>
      <c r="B22" s="165"/>
      <c r="C22" s="166"/>
      <c r="D22" s="219"/>
      <c r="E22" s="166"/>
      <c r="F22" s="167"/>
      <c r="G22" s="166"/>
      <c r="H22" s="168"/>
      <c r="I22" s="167"/>
      <c r="J22" s="167"/>
      <c r="K22" s="167"/>
      <c r="L22" s="166"/>
      <c r="M22" s="166"/>
      <c r="N22" s="220"/>
      <c r="O22" s="190"/>
      <c r="P22" s="132"/>
      <c r="Q22" s="132"/>
      <c r="R22" s="176"/>
      <c r="S22" s="170">
        <v>3</v>
      </c>
      <c r="T22" s="171">
        <f>IF(F21=0,(D19*F20),(D19*F21))</f>
        <v>0</v>
      </c>
      <c r="U22" s="132"/>
      <c r="V22" s="132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</row>
    <row r="23" spans="1:48" ht="16.5" x14ac:dyDescent="0.3">
      <c r="A23" s="171"/>
      <c r="B23" s="147">
        <v>4</v>
      </c>
      <c r="C23" s="200" t="s">
        <v>106</v>
      </c>
      <c r="D23" s="201"/>
      <c r="E23" s="202" t="s">
        <v>113</v>
      </c>
      <c r="F23" s="151"/>
      <c r="G23" s="203"/>
      <c r="H23" s="204">
        <f>IF(G23=0,0,1)</f>
        <v>0</v>
      </c>
      <c r="I23" s="148">
        <f t="shared" si="0"/>
        <v>0</v>
      </c>
      <c r="J23" s="148">
        <f>IF(F25&gt;0,F25,F24)</f>
        <v>0</v>
      </c>
      <c r="K23" s="148">
        <f>SUM(I23:I25)</f>
        <v>0</v>
      </c>
      <c r="L23" s="205">
        <f>'Worksheet 2 Restorative Credits'!I22</f>
        <v>0</v>
      </c>
      <c r="M23" s="206" t="str">
        <f>IF(D23&gt;0,((G23*H23*12+G24*H24*12+G25*H25*12)/D23),"-")</f>
        <v>-</v>
      </c>
      <c r="N23" s="207" t="str">
        <f>IF(J23=0,"N/A",(LOOKUP(B23,'Summary Table'!$B$13:$B$20,'Summary Table'!$D$13:$D$20)/('Worksheet 3 (SCM Sizing)'!J23)))</f>
        <v>N/A</v>
      </c>
      <c r="O23" s="222" t="str">
        <f>IF(K23=0, " ",IF(M23&gt;72,"Drawdown Time Exceeded if G. I. Used"," "))</f>
        <v xml:space="preserve"> </v>
      </c>
      <c r="P23" s="132"/>
      <c r="Q23" s="132"/>
      <c r="R23" s="176"/>
      <c r="S23" s="170">
        <v>4</v>
      </c>
      <c r="T23" s="171">
        <f>IF(F25=0,(D23*F24),(D23*F25))</f>
        <v>0</v>
      </c>
      <c r="U23" s="132"/>
      <c r="V23" s="132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</row>
    <row r="24" spans="1:48" ht="16.5" x14ac:dyDescent="0.3">
      <c r="A24" s="171"/>
      <c r="B24" s="153"/>
      <c r="C24" s="154"/>
      <c r="D24" s="209"/>
      <c r="E24" s="154" t="s">
        <v>114</v>
      </c>
      <c r="F24" s="155"/>
      <c r="G24" s="210"/>
      <c r="H24" s="211">
        <f>IF(G24=0,0,0.2)</f>
        <v>0</v>
      </c>
      <c r="I24" s="158">
        <f t="shared" si="0"/>
        <v>0</v>
      </c>
      <c r="J24" s="158"/>
      <c r="K24" s="158"/>
      <c r="L24" s="154"/>
      <c r="M24" s="212"/>
      <c r="N24" s="213"/>
      <c r="O24" s="222" t="str">
        <f>IF(K23=0, " ",IF(N23&gt;'Worksheet 1 (SOV and SCM AREA)'!$F$9,"Loading Ratio Exceeded"," "))</f>
        <v xml:space="preserve"> </v>
      </c>
      <c r="P24" s="132"/>
      <c r="Q24" s="132"/>
      <c r="R24" s="176"/>
      <c r="S24" s="170">
        <v>5</v>
      </c>
      <c r="T24" s="171">
        <f>IF(F29=0,(D27*F28),(D27*F29))</f>
        <v>0</v>
      </c>
      <c r="U24" s="132"/>
      <c r="V24" s="132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</row>
    <row r="25" spans="1:48" ht="17.25" thickBot="1" x14ac:dyDescent="0.35">
      <c r="A25" s="171"/>
      <c r="B25" s="159"/>
      <c r="C25" s="160"/>
      <c r="D25" s="214"/>
      <c r="E25" s="160" t="s">
        <v>116</v>
      </c>
      <c r="F25" s="161"/>
      <c r="G25" s="215"/>
      <c r="H25" s="216">
        <f>IF(G25=0,0,0.4)</f>
        <v>0</v>
      </c>
      <c r="I25" s="164">
        <f t="shared" si="0"/>
        <v>0</v>
      </c>
      <c r="J25" s="164"/>
      <c r="K25" s="164"/>
      <c r="L25" s="160"/>
      <c r="M25" s="217"/>
      <c r="N25" s="218"/>
      <c r="O25" s="222" t="str">
        <f>IF(K23=0, " ",IF(G23&gt;1,"Surface Storage Depth Must be 1.0' or Less"," "))</f>
        <v xml:space="preserve"> </v>
      </c>
      <c r="P25" s="132"/>
      <c r="Q25" s="132"/>
      <c r="R25" s="132"/>
      <c r="S25" s="170">
        <v>6</v>
      </c>
      <c r="T25" s="171">
        <f>IF(F33=0,(D31*F32),(D31*F33))</f>
        <v>0</v>
      </c>
      <c r="U25" s="132"/>
      <c r="V25" s="132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</row>
    <row r="26" spans="1:48" ht="17.25" thickBot="1" x14ac:dyDescent="0.35">
      <c r="A26" s="171"/>
      <c r="B26" s="165"/>
      <c r="C26" s="166"/>
      <c r="D26" s="219"/>
      <c r="E26" s="166"/>
      <c r="F26" s="167"/>
      <c r="G26" s="166"/>
      <c r="H26" s="168"/>
      <c r="I26" s="167"/>
      <c r="J26" s="167"/>
      <c r="K26" s="167"/>
      <c r="L26" s="166"/>
      <c r="M26" s="166"/>
      <c r="N26" s="220"/>
      <c r="O26" s="190"/>
      <c r="P26" s="132"/>
      <c r="Q26" s="132"/>
      <c r="R26" s="132"/>
      <c r="S26" s="170">
        <v>7</v>
      </c>
      <c r="T26" s="171">
        <f>IF(F37=0,(D35*F36),(D35*F37))</f>
        <v>0</v>
      </c>
      <c r="U26" s="132"/>
      <c r="V26" s="132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</row>
    <row r="27" spans="1:48" ht="16.5" x14ac:dyDescent="0.3">
      <c r="A27" s="171"/>
      <c r="B27" s="147">
        <v>5</v>
      </c>
      <c r="C27" s="200" t="s">
        <v>106</v>
      </c>
      <c r="D27" s="201"/>
      <c r="E27" s="202" t="s">
        <v>113</v>
      </c>
      <c r="F27" s="151"/>
      <c r="G27" s="203"/>
      <c r="H27" s="204">
        <f>IF(G27=0,0,1)</f>
        <v>0</v>
      </c>
      <c r="I27" s="148">
        <f t="shared" si="0"/>
        <v>0</v>
      </c>
      <c r="J27" s="148">
        <f>IF(F29&gt;0,F29,F28)</f>
        <v>0</v>
      </c>
      <c r="K27" s="148">
        <f>SUM(I27:I29)</f>
        <v>0</v>
      </c>
      <c r="L27" s="205">
        <f>'Worksheet 2 Restorative Credits'!I26</f>
        <v>0</v>
      </c>
      <c r="M27" s="206" t="str">
        <f>IF(D27&gt;0,((G27*H27*12+G28*H28*12+G29*H29*12)/D27),"-")</f>
        <v>-</v>
      </c>
      <c r="N27" s="207" t="str">
        <f>IF(J27=0,"N/A",(LOOKUP(B27,'Summary Table'!$B$13:$B$20,'Summary Table'!$D$13:$D$20)/('Worksheet 3 (SCM Sizing)'!J27)))</f>
        <v>N/A</v>
      </c>
      <c r="O27" s="222" t="str">
        <f>IF(K27=0, " ",IF(M27&gt;72,"Drawdown Time Exceeded if G. I. Used"," "))</f>
        <v xml:space="preserve"> </v>
      </c>
      <c r="P27" s="132"/>
      <c r="Q27" s="132"/>
      <c r="R27" s="132"/>
      <c r="S27" s="170">
        <v>8</v>
      </c>
      <c r="T27" s="171">
        <f>IF(F41=0,(D39*F40),(D39*F41))</f>
        <v>0</v>
      </c>
      <c r="U27" s="132"/>
      <c r="V27" s="132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</row>
    <row r="28" spans="1:48" ht="16.5" x14ac:dyDescent="0.3">
      <c r="A28" s="171"/>
      <c r="B28" s="153"/>
      <c r="C28" s="154"/>
      <c r="D28" s="209"/>
      <c r="E28" s="154" t="s">
        <v>114</v>
      </c>
      <c r="F28" s="155"/>
      <c r="G28" s="210"/>
      <c r="H28" s="211">
        <f>IF(G28=0,0,0.2)</f>
        <v>0</v>
      </c>
      <c r="I28" s="158">
        <f t="shared" si="0"/>
        <v>0</v>
      </c>
      <c r="J28" s="158"/>
      <c r="K28" s="158"/>
      <c r="L28" s="154"/>
      <c r="M28" s="212"/>
      <c r="N28" s="213"/>
      <c r="O28" s="222" t="str">
        <f>IF(K27=0, " ",IF(N27&gt;'Worksheet 1 (SOV and SCM AREA)'!$F$9,"Loading Ratio Exceeded"," "))</f>
        <v xml:space="preserve"> </v>
      </c>
      <c r="P28" s="132"/>
      <c r="Q28" s="132"/>
      <c r="R28" s="132"/>
      <c r="S28" s="130"/>
      <c r="T28" s="132"/>
      <c r="U28" s="132"/>
      <c r="V28" s="132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</row>
    <row r="29" spans="1:48" ht="17.25" thickBot="1" x14ac:dyDescent="0.35">
      <c r="A29" s="171"/>
      <c r="B29" s="159"/>
      <c r="C29" s="160"/>
      <c r="D29" s="214"/>
      <c r="E29" s="160" t="s">
        <v>116</v>
      </c>
      <c r="F29" s="161"/>
      <c r="G29" s="215"/>
      <c r="H29" s="216">
        <f>IF(G29=0,0,0.4)</f>
        <v>0</v>
      </c>
      <c r="I29" s="164">
        <f t="shared" si="0"/>
        <v>0</v>
      </c>
      <c r="J29" s="164"/>
      <c r="K29" s="164"/>
      <c r="L29" s="160"/>
      <c r="M29" s="217"/>
      <c r="N29" s="218"/>
      <c r="O29" s="222" t="str">
        <f>IF(K27=0, " ",IF(G27&gt;1,"Surface Storage Depth Must be 1.0' or Less"," "))</f>
        <v xml:space="preserve"> </v>
      </c>
      <c r="P29" s="132"/>
      <c r="Q29" s="132"/>
      <c r="R29" s="132"/>
      <c r="S29" s="130"/>
      <c r="T29" s="132"/>
      <c r="U29" s="132"/>
      <c r="V29" s="132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</row>
    <row r="30" spans="1:48" ht="17.25" thickBot="1" x14ac:dyDescent="0.35">
      <c r="A30" s="171"/>
      <c r="B30" s="165"/>
      <c r="C30" s="166"/>
      <c r="D30" s="219"/>
      <c r="E30" s="166"/>
      <c r="F30" s="167"/>
      <c r="G30" s="166"/>
      <c r="H30" s="168"/>
      <c r="I30" s="167"/>
      <c r="J30" s="167"/>
      <c r="K30" s="167"/>
      <c r="L30" s="166"/>
      <c r="M30" s="166"/>
      <c r="N30" s="220"/>
      <c r="O30" s="190"/>
      <c r="P30" s="132"/>
      <c r="Q30" s="132"/>
      <c r="R30" s="132"/>
      <c r="S30" s="130"/>
      <c r="T30" s="132"/>
      <c r="U30" s="132"/>
      <c r="V30" s="132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</row>
    <row r="31" spans="1:48" ht="16.5" x14ac:dyDescent="0.3">
      <c r="A31" s="171"/>
      <c r="B31" s="147">
        <v>6</v>
      </c>
      <c r="C31" s="200" t="s">
        <v>106</v>
      </c>
      <c r="D31" s="201"/>
      <c r="E31" s="202" t="s">
        <v>113</v>
      </c>
      <c r="F31" s="151"/>
      <c r="G31" s="203"/>
      <c r="H31" s="204">
        <f>IF(G31=0,0,1)</f>
        <v>0</v>
      </c>
      <c r="I31" s="148">
        <f t="shared" si="0"/>
        <v>0</v>
      </c>
      <c r="J31" s="148">
        <f>IF(F33&gt;0,F33,F32)</f>
        <v>0</v>
      </c>
      <c r="K31" s="148">
        <f>SUM(I31:I33)</f>
        <v>0</v>
      </c>
      <c r="L31" s="205">
        <f>'Worksheet 2 Restorative Credits'!I30</f>
        <v>0</v>
      </c>
      <c r="M31" s="206" t="str">
        <f>IF(D31&gt;0,((G31*H31*12+G32*H32*12+G33*H33*12)/D31),"-")</f>
        <v>-</v>
      </c>
      <c r="N31" s="207" t="str">
        <f>IF(J31=0,"N/A",(LOOKUP(B31,'Summary Table'!$B$13:$B$20,'Summary Table'!$D$13:$D$20)/('Worksheet 3 (SCM Sizing)'!J31)))</f>
        <v>N/A</v>
      </c>
      <c r="O31" s="222" t="str">
        <f>IF(K31=0, " ",IF(M31&gt;72,"Drawdown Time Exceeded if G. I. Used"," "))</f>
        <v xml:space="preserve"> </v>
      </c>
      <c r="P31" s="132"/>
      <c r="Q31" s="132"/>
      <c r="R31" s="132"/>
      <c r="S31" s="130"/>
      <c r="T31" s="132"/>
      <c r="U31" s="132"/>
      <c r="V31" s="132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</row>
    <row r="32" spans="1:48" ht="16.5" x14ac:dyDescent="0.3">
      <c r="A32" s="171"/>
      <c r="B32" s="153"/>
      <c r="C32" s="154"/>
      <c r="D32" s="209"/>
      <c r="E32" s="154" t="s">
        <v>114</v>
      </c>
      <c r="F32" s="155"/>
      <c r="G32" s="210"/>
      <c r="H32" s="211">
        <f>IF(G32=0,0,0.2)</f>
        <v>0</v>
      </c>
      <c r="I32" s="158">
        <f t="shared" si="0"/>
        <v>0</v>
      </c>
      <c r="J32" s="158"/>
      <c r="K32" s="158"/>
      <c r="L32" s="154"/>
      <c r="M32" s="212"/>
      <c r="N32" s="213"/>
      <c r="O32" s="222" t="str">
        <f>IF(K31=0, " ",IF(N31&gt;'Worksheet 1 (SOV and SCM AREA)'!$F$9,"Loading Ratio Exceeded"," "))</f>
        <v xml:space="preserve"> </v>
      </c>
      <c r="P32" s="132"/>
      <c r="Q32" s="132"/>
      <c r="R32" s="132"/>
      <c r="S32" s="130"/>
      <c r="T32" s="132"/>
      <c r="U32" s="132"/>
      <c r="V32" s="132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</row>
    <row r="33" spans="1:48" ht="17.25" thickBot="1" x14ac:dyDescent="0.35">
      <c r="A33" s="171"/>
      <c r="B33" s="159"/>
      <c r="C33" s="160"/>
      <c r="D33" s="214"/>
      <c r="E33" s="160" t="s">
        <v>116</v>
      </c>
      <c r="F33" s="161"/>
      <c r="G33" s="215"/>
      <c r="H33" s="216">
        <f>IF(G33=0,0,0.4)</f>
        <v>0</v>
      </c>
      <c r="I33" s="164">
        <f t="shared" si="0"/>
        <v>0</v>
      </c>
      <c r="J33" s="164"/>
      <c r="K33" s="164"/>
      <c r="L33" s="160"/>
      <c r="M33" s="217"/>
      <c r="N33" s="218"/>
      <c r="O33" s="222" t="str">
        <f>IF(K31=0, " ",IF(G31&gt;1,"Surface Storage Depth Must be 1.0' or Less"," "))</f>
        <v xml:space="preserve"> </v>
      </c>
      <c r="P33" s="132"/>
      <c r="Q33" s="132"/>
      <c r="R33" s="132"/>
      <c r="S33" s="130"/>
      <c r="T33" s="132"/>
      <c r="U33" s="132"/>
      <c r="V33" s="132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</row>
    <row r="34" spans="1:48" ht="17.25" thickBot="1" x14ac:dyDescent="0.35">
      <c r="A34" s="171"/>
      <c r="B34" s="165"/>
      <c r="C34" s="166"/>
      <c r="D34" s="219"/>
      <c r="E34" s="166"/>
      <c r="F34" s="167"/>
      <c r="G34" s="166"/>
      <c r="H34" s="168"/>
      <c r="I34" s="167"/>
      <c r="J34" s="167"/>
      <c r="K34" s="167"/>
      <c r="L34" s="166"/>
      <c r="M34" s="166"/>
      <c r="N34" s="220"/>
      <c r="O34" s="190"/>
      <c r="P34" s="132"/>
      <c r="Q34" s="132"/>
      <c r="R34" s="132"/>
      <c r="S34" s="130"/>
      <c r="T34" s="132"/>
      <c r="U34" s="132"/>
      <c r="V34" s="132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</row>
    <row r="35" spans="1:48" ht="16.5" x14ac:dyDescent="0.3">
      <c r="A35" s="171"/>
      <c r="B35" s="147">
        <v>7</v>
      </c>
      <c r="C35" s="200" t="s">
        <v>106</v>
      </c>
      <c r="D35" s="201"/>
      <c r="E35" s="202" t="s">
        <v>113</v>
      </c>
      <c r="F35" s="151"/>
      <c r="G35" s="203"/>
      <c r="H35" s="204">
        <f>IF(G35=0,0,1)</f>
        <v>0</v>
      </c>
      <c r="I35" s="148">
        <f t="shared" si="0"/>
        <v>0</v>
      </c>
      <c r="J35" s="148">
        <f>IF(F37&gt;0,F37,F36)</f>
        <v>0</v>
      </c>
      <c r="K35" s="148">
        <f>SUM(I35:I37)</f>
        <v>0</v>
      </c>
      <c r="L35" s="205">
        <f>'Worksheet 2 Restorative Credits'!I34</f>
        <v>0</v>
      </c>
      <c r="M35" s="206" t="str">
        <f>IF(D35&gt;0,((G35*H35*12+G36*H36*12+G37*H37*12)/D35),"-")</f>
        <v>-</v>
      </c>
      <c r="N35" s="207" t="str">
        <f>IF(J35=0,"N/A",(LOOKUP(B35,'Summary Table'!$B$13:$B$20,'Summary Table'!$D$13:$D$20)/('Worksheet 3 (SCM Sizing)'!J35)))</f>
        <v>N/A</v>
      </c>
      <c r="O35" s="222" t="str">
        <f>IF(K35=0, " ",IF(M35&gt;72,"Drawdown Time Exceeded if G. I. Used"," "))</f>
        <v xml:space="preserve"> </v>
      </c>
      <c r="P35" s="132"/>
      <c r="Q35" s="132"/>
      <c r="R35" s="132"/>
      <c r="S35" s="130"/>
      <c r="T35" s="132"/>
      <c r="U35" s="132"/>
      <c r="V35" s="132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</row>
    <row r="36" spans="1:48" ht="16.5" x14ac:dyDescent="0.3">
      <c r="A36" s="171"/>
      <c r="B36" s="153"/>
      <c r="C36" s="154"/>
      <c r="D36" s="209"/>
      <c r="E36" s="154" t="s">
        <v>114</v>
      </c>
      <c r="F36" s="155"/>
      <c r="G36" s="210"/>
      <c r="H36" s="211">
        <f>IF(G36=0,0,0.2)</f>
        <v>0</v>
      </c>
      <c r="I36" s="158">
        <f t="shared" si="0"/>
        <v>0</v>
      </c>
      <c r="J36" s="158"/>
      <c r="K36" s="158"/>
      <c r="L36" s="154"/>
      <c r="M36" s="212"/>
      <c r="N36" s="213"/>
      <c r="O36" s="222" t="str">
        <f>IF(K35=0, " ",IF(N35&gt;'Worksheet 1 (SOV and SCM AREA)'!$F$9,"Loading Ratio Exceeded"," "))</f>
        <v xml:space="preserve"> </v>
      </c>
      <c r="P36" s="132"/>
      <c r="Q36" s="132"/>
      <c r="R36" s="132"/>
      <c r="S36" s="130"/>
      <c r="T36" s="132"/>
      <c r="U36" s="132"/>
      <c r="V36" s="132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</row>
    <row r="37" spans="1:48" ht="17.25" thickBot="1" x14ac:dyDescent="0.35">
      <c r="A37" s="171"/>
      <c r="B37" s="159"/>
      <c r="C37" s="160"/>
      <c r="D37" s="214"/>
      <c r="E37" s="160" t="s">
        <v>116</v>
      </c>
      <c r="F37" s="161"/>
      <c r="G37" s="215"/>
      <c r="H37" s="216">
        <f>IF(G37=0,0,0.4)</f>
        <v>0</v>
      </c>
      <c r="I37" s="164">
        <f t="shared" si="0"/>
        <v>0</v>
      </c>
      <c r="J37" s="164"/>
      <c r="K37" s="164"/>
      <c r="L37" s="160"/>
      <c r="M37" s="217"/>
      <c r="N37" s="218"/>
      <c r="O37" s="222" t="str">
        <f>IF(K35=0, " ",IF(G35&gt;1,"Surface Storage Depth Must be 1.0' or Less"," "))</f>
        <v xml:space="preserve"> </v>
      </c>
      <c r="P37" s="132"/>
      <c r="Q37" s="132"/>
      <c r="R37" s="132"/>
      <c r="S37" s="170"/>
      <c r="T37" s="132"/>
      <c r="U37" s="132"/>
      <c r="V37" s="132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</row>
    <row r="38" spans="1:48" ht="17.25" thickBot="1" x14ac:dyDescent="0.35">
      <c r="A38" s="171"/>
      <c r="B38" s="165"/>
      <c r="C38" s="166"/>
      <c r="D38" s="219"/>
      <c r="E38" s="166"/>
      <c r="F38" s="167"/>
      <c r="G38" s="166"/>
      <c r="H38" s="168"/>
      <c r="I38" s="167"/>
      <c r="J38" s="167"/>
      <c r="K38" s="167"/>
      <c r="L38" s="166"/>
      <c r="M38" s="166"/>
      <c r="N38" s="220"/>
      <c r="O38" s="190"/>
      <c r="P38" s="132"/>
      <c r="Q38" s="132"/>
      <c r="R38" s="132"/>
      <c r="S38" s="130"/>
      <c r="T38" s="132"/>
      <c r="U38" s="132"/>
      <c r="V38" s="132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</row>
    <row r="39" spans="1:48" ht="16.5" x14ac:dyDescent="0.3">
      <c r="A39" s="171"/>
      <c r="B39" s="147">
        <v>8</v>
      </c>
      <c r="C39" s="200" t="s">
        <v>106</v>
      </c>
      <c r="D39" s="201"/>
      <c r="E39" s="202" t="s">
        <v>113</v>
      </c>
      <c r="F39" s="151"/>
      <c r="G39" s="203"/>
      <c r="H39" s="204">
        <f>IF(G39=0,0,1)</f>
        <v>0</v>
      </c>
      <c r="I39" s="148">
        <f t="shared" si="0"/>
        <v>0</v>
      </c>
      <c r="J39" s="148">
        <f>IF(F41&gt;0,F41,F40)</f>
        <v>0</v>
      </c>
      <c r="K39" s="148">
        <f>SUM(I39:I41)</f>
        <v>0</v>
      </c>
      <c r="L39" s="205">
        <f>'Worksheet 2 Restorative Credits'!I38</f>
        <v>0</v>
      </c>
      <c r="M39" s="206" t="str">
        <f>IF(D39&gt;0,((G39*H39*12+G40*H40*12+G41*H41*12)/D39),"-")</f>
        <v>-</v>
      </c>
      <c r="N39" s="207" t="str">
        <f>IF(J39=0,"N/A",(LOOKUP(B39,'Summary Table'!$B$13:$B$20,'Summary Table'!$D$13:$D$20)/('Worksheet 3 (SCM Sizing)'!J39)))</f>
        <v>N/A</v>
      </c>
      <c r="O39" s="222" t="str">
        <f>IF(K39=0, " ",IF(M39&gt;72,"Drawdown Time Exceeded if G. I. Used"," "))</f>
        <v xml:space="preserve"> </v>
      </c>
      <c r="P39" s="132"/>
      <c r="Q39" s="132"/>
      <c r="R39" s="132"/>
      <c r="S39" s="170"/>
      <c r="T39" s="132"/>
      <c r="U39" s="132"/>
      <c r="V39" s="132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</row>
    <row r="40" spans="1:48" ht="16.5" x14ac:dyDescent="0.3">
      <c r="A40" s="171"/>
      <c r="B40" s="153"/>
      <c r="C40" s="154"/>
      <c r="D40" s="209"/>
      <c r="E40" s="154" t="s">
        <v>114</v>
      </c>
      <c r="F40" s="155"/>
      <c r="G40" s="210"/>
      <c r="H40" s="211">
        <f>IF(G40=0,0,0.2)</f>
        <v>0</v>
      </c>
      <c r="I40" s="158">
        <f t="shared" si="0"/>
        <v>0</v>
      </c>
      <c r="J40" s="158"/>
      <c r="K40" s="158"/>
      <c r="L40" s="154"/>
      <c r="M40" s="212"/>
      <c r="N40" s="213"/>
      <c r="O40" s="222" t="str">
        <f>IF(K39=0, " ",IF(N39&gt;'Worksheet 1 (SOV and SCM AREA)'!$F$9,"Loading Ratio Exceeded"," "))</f>
        <v xml:space="preserve"> </v>
      </c>
      <c r="P40" s="132"/>
      <c r="Q40" s="132"/>
      <c r="R40" s="132"/>
      <c r="S40" s="130"/>
      <c r="T40" s="132"/>
      <c r="U40" s="132"/>
      <c r="V40" s="132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</row>
    <row r="41" spans="1:48" ht="17.25" thickBot="1" x14ac:dyDescent="0.35">
      <c r="A41" s="171"/>
      <c r="B41" s="159"/>
      <c r="C41" s="160"/>
      <c r="D41" s="214"/>
      <c r="E41" s="160" t="s">
        <v>116</v>
      </c>
      <c r="F41" s="161"/>
      <c r="G41" s="215"/>
      <c r="H41" s="216">
        <f>IF(G41=0,0,0.4)</f>
        <v>0</v>
      </c>
      <c r="I41" s="164">
        <f t="shared" si="0"/>
        <v>0</v>
      </c>
      <c r="J41" s="164"/>
      <c r="K41" s="164"/>
      <c r="L41" s="160"/>
      <c r="M41" s="217"/>
      <c r="N41" s="218"/>
      <c r="O41" s="222" t="str">
        <f>IF(K39=0, " ",IF(G39&gt;1,"Surface Storage Depth Must be 1.0' or Less"," "))</f>
        <v xml:space="preserve"> </v>
      </c>
      <c r="P41" s="132"/>
      <c r="Q41" s="132"/>
      <c r="R41" s="132"/>
      <c r="S41" s="130"/>
      <c r="T41" s="132"/>
      <c r="U41" s="132"/>
      <c r="V41" s="132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</row>
    <row r="42" spans="1:48" ht="17.25" thickBot="1" x14ac:dyDescent="0.35">
      <c r="A42" s="171"/>
      <c r="B42" s="165"/>
      <c r="C42" s="166"/>
      <c r="D42" s="219"/>
      <c r="E42" s="166"/>
      <c r="F42" s="167"/>
      <c r="G42" s="166"/>
      <c r="H42" s="168"/>
      <c r="I42" s="167"/>
      <c r="J42" s="167"/>
      <c r="K42" s="167"/>
      <c r="L42" s="166"/>
      <c r="M42" s="166"/>
      <c r="N42" s="220"/>
      <c r="O42" s="190"/>
      <c r="P42" s="132"/>
      <c r="Q42" s="132"/>
      <c r="R42" s="132"/>
      <c r="S42" s="130"/>
      <c r="T42" s="132"/>
      <c r="U42" s="132"/>
      <c r="V42" s="132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</row>
    <row r="43" spans="1:48" ht="16.5" x14ac:dyDescent="0.3">
      <c r="A43" s="171"/>
      <c r="B43" s="172"/>
      <c r="C43" s="132"/>
      <c r="D43" s="132"/>
      <c r="E43" s="173"/>
      <c r="F43" s="132"/>
      <c r="G43" s="174"/>
      <c r="H43" s="173"/>
      <c r="I43" s="132"/>
      <c r="J43" s="189"/>
      <c r="K43" s="132"/>
      <c r="L43" s="132"/>
      <c r="M43" s="132"/>
      <c r="N43" s="223"/>
      <c r="O43" s="208"/>
      <c r="P43" s="132"/>
      <c r="Q43" s="132"/>
      <c r="R43" s="176"/>
      <c r="S43" s="170"/>
      <c r="T43" s="132"/>
      <c r="U43" s="132"/>
      <c r="V43" s="132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</row>
    <row r="44" spans="1:48" ht="17.25" thickBot="1" x14ac:dyDescent="0.35">
      <c r="A44" s="171"/>
      <c r="B44" s="177"/>
      <c r="C44" s="178"/>
      <c r="D44" s="178"/>
      <c r="E44" s="179"/>
      <c r="F44" s="178"/>
      <c r="G44" s="178"/>
      <c r="H44" s="180"/>
      <c r="I44" s="343" t="s">
        <v>121</v>
      </c>
      <c r="J44" s="224"/>
      <c r="K44" s="397">
        <f>SUM(K11:K42)</f>
        <v>0</v>
      </c>
      <c r="L44" s="178"/>
      <c r="M44" s="178"/>
      <c r="N44" s="225"/>
      <c r="O44" s="208"/>
      <c r="P44" s="132"/>
      <c r="Q44" s="132"/>
      <c r="R44" s="176"/>
      <c r="S44" s="170"/>
      <c r="T44" s="132"/>
      <c r="U44" s="132"/>
      <c r="V44" s="132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</row>
    <row r="45" spans="1:48" ht="16.5" x14ac:dyDescent="0.3">
      <c r="A45" s="171"/>
      <c r="B45" s="132"/>
      <c r="C45" s="132"/>
      <c r="D45" s="226"/>
      <c r="E45" s="173"/>
      <c r="F45" s="132"/>
      <c r="G45" s="132"/>
      <c r="H45" s="173"/>
      <c r="I45" s="132"/>
      <c r="J45" s="189"/>
      <c r="K45" s="132"/>
      <c r="L45" s="132"/>
      <c r="M45" s="132"/>
      <c r="N45" s="132"/>
      <c r="O45" s="208"/>
      <c r="P45" s="132"/>
      <c r="Q45" s="132"/>
      <c r="R45" s="176"/>
      <c r="S45" s="170"/>
      <c r="T45" s="132"/>
      <c r="U45" s="132"/>
      <c r="V45" s="132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</row>
    <row r="46" spans="1:48" ht="16.5" x14ac:dyDescent="0.3">
      <c r="A46" s="171"/>
      <c r="B46" s="132"/>
      <c r="C46" s="132"/>
      <c r="D46" s="226"/>
      <c r="E46" s="173"/>
      <c r="F46" s="132"/>
      <c r="G46" s="132"/>
      <c r="H46" s="173"/>
      <c r="I46" s="132"/>
      <c r="J46" s="189"/>
      <c r="K46" s="132"/>
      <c r="L46" s="132"/>
      <c r="M46" s="132"/>
      <c r="N46" s="132"/>
      <c r="O46" s="208"/>
      <c r="P46" s="132"/>
      <c r="Q46" s="132"/>
      <c r="R46" s="176"/>
      <c r="S46" s="170"/>
      <c r="T46" s="132"/>
      <c r="U46" s="132"/>
      <c r="V46" s="132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</row>
    <row r="47" spans="1:48" ht="16.5" x14ac:dyDescent="0.3">
      <c r="A47" s="171"/>
      <c r="B47" s="132"/>
      <c r="C47" s="132"/>
      <c r="D47" s="226"/>
      <c r="E47" s="173"/>
      <c r="F47" s="132"/>
      <c r="G47" s="132"/>
      <c r="H47" s="173"/>
      <c r="I47" s="132"/>
      <c r="J47" s="189"/>
      <c r="K47" s="132"/>
      <c r="L47" s="132"/>
      <c r="M47" s="132"/>
      <c r="N47" s="132"/>
      <c r="O47" s="208"/>
      <c r="P47" s="132"/>
      <c r="Q47" s="132"/>
      <c r="R47" s="176"/>
      <c r="S47" s="170"/>
      <c r="T47" s="132"/>
      <c r="U47" s="132"/>
      <c r="V47" s="132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</row>
    <row r="48" spans="1:48" ht="16.5" x14ac:dyDescent="0.3">
      <c r="A48" s="171"/>
      <c r="B48" s="132"/>
      <c r="C48" s="132"/>
      <c r="D48" s="226"/>
      <c r="E48" s="173"/>
      <c r="F48" s="132"/>
      <c r="G48" s="132"/>
      <c r="H48" s="173"/>
      <c r="I48" s="132"/>
      <c r="J48" s="189"/>
      <c r="K48" s="132"/>
      <c r="L48" s="132"/>
      <c r="M48" s="132"/>
      <c r="N48" s="132"/>
      <c r="O48" s="208"/>
      <c r="P48" s="132"/>
      <c r="Q48" s="132"/>
      <c r="R48" s="176"/>
      <c r="S48" s="170"/>
      <c r="T48" s="132"/>
      <c r="U48" s="132"/>
      <c r="V48" s="132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</row>
    <row r="49" spans="1:48" ht="16.5" x14ac:dyDescent="0.3">
      <c r="A49" s="171"/>
      <c r="B49" s="132"/>
      <c r="C49" s="132"/>
      <c r="D49" s="226"/>
      <c r="E49" s="173"/>
      <c r="F49" s="132"/>
      <c r="G49" s="132"/>
      <c r="H49" s="173"/>
      <c r="I49" s="132"/>
      <c r="J49" s="189"/>
      <c r="K49" s="132"/>
      <c r="L49" s="132"/>
      <c r="M49" s="132"/>
      <c r="N49" s="132"/>
      <c r="O49" s="208"/>
      <c r="P49" s="132"/>
      <c r="Q49" s="132"/>
      <c r="R49" s="176"/>
      <c r="S49" s="170"/>
      <c r="T49" s="132"/>
      <c r="U49" s="132"/>
      <c r="V49" s="132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</row>
    <row r="50" spans="1:48" ht="16.5" x14ac:dyDescent="0.3">
      <c r="A50" s="171"/>
      <c r="B50" s="132"/>
      <c r="C50" s="132"/>
      <c r="D50" s="226"/>
      <c r="E50" s="173"/>
      <c r="F50" s="132"/>
      <c r="G50" s="132"/>
      <c r="H50" s="173"/>
      <c r="I50" s="132"/>
      <c r="J50" s="189"/>
      <c r="K50" s="132"/>
      <c r="L50" s="132"/>
      <c r="M50" s="132"/>
      <c r="N50" s="132"/>
      <c r="O50" s="208"/>
      <c r="P50" s="132"/>
      <c r="Q50" s="132"/>
      <c r="R50" s="176"/>
      <c r="S50" s="170"/>
      <c r="T50" s="132"/>
      <c r="U50" s="132"/>
      <c r="V50" s="132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</row>
    <row r="51" spans="1:48" ht="16.5" x14ac:dyDescent="0.3">
      <c r="A51" s="171"/>
      <c r="B51" s="132"/>
      <c r="C51" s="132"/>
      <c r="D51" s="226"/>
      <c r="E51" s="173"/>
      <c r="F51" s="132"/>
      <c r="G51" s="132"/>
      <c r="H51" s="173"/>
      <c r="I51" s="132"/>
      <c r="J51" s="189"/>
      <c r="K51" s="132"/>
      <c r="L51" s="132"/>
      <c r="M51" s="132"/>
      <c r="N51" s="132"/>
      <c r="O51" s="208"/>
      <c r="P51" s="132"/>
      <c r="Q51" s="132"/>
      <c r="R51" s="176"/>
      <c r="S51" s="170"/>
      <c r="T51" s="132"/>
      <c r="U51" s="132"/>
      <c r="V51" s="132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</row>
    <row r="52" spans="1:48" ht="16.5" x14ac:dyDescent="0.3">
      <c r="A52" s="171"/>
      <c r="B52" s="132"/>
      <c r="C52" s="132"/>
      <c r="D52" s="226"/>
      <c r="E52" s="173"/>
      <c r="F52" s="132"/>
      <c r="G52" s="132"/>
      <c r="H52" s="173"/>
      <c r="I52" s="132"/>
      <c r="J52" s="189"/>
      <c r="K52" s="132"/>
      <c r="L52" s="132"/>
      <c r="M52" s="132"/>
      <c r="N52" s="132"/>
      <c r="O52" s="208"/>
      <c r="P52" s="132"/>
      <c r="Q52" s="132"/>
      <c r="R52" s="176"/>
      <c r="S52" s="170"/>
      <c r="T52" s="132"/>
      <c r="U52" s="132"/>
      <c r="V52" s="132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</row>
    <row r="53" spans="1:48" ht="16.5" x14ac:dyDescent="0.3">
      <c r="A53" s="171"/>
      <c r="B53" s="132"/>
      <c r="C53" s="132"/>
      <c r="D53" s="226"/>
      <c r="E53" s="173"/>
      <c r="F53" s="132"/>
      <c r="G53" s="132"/>
      <c r="H53" s="173"/>
      <c r="I53" s="132"/>
      <c r="J53" s="189"/>
      <c r="K53" s="132"/>
      <c r="L53" s="132"/>
      <c r="M53" s="132"/>
      <c r="N53" s="132"/>
      <c r="O53" s="208"/>
      <c r="P53" s="132"/>
      <c r="Q53" s="132"/>
      <c r="R53" s="176"/>
      <c r="S53" s="170"/>
      <c r="T53" s="132"/>
      <c r="U53" s="132"/>
      <c r="V53" s="132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</row>
  </sheetData>
  <sheetProtection algorithmName="SHA-512" hashValue="a4WhHEli4BQifFLSiwm5TN0ZsxAUu5ypUixX0+bsSWyWHv0xUjfcm447ozZFoZeAkXHNc0hTkdK47KhJIlwxKw==" saltValue="5GCBE/MfdOJzt3LZWOzkrg==" spinCount="100000" sheet="1" objects="1" scenarios="1" selectLockedCells="1"/>
  <mergeCells count="7">
    <mergeCell ref="F7:M7"/>
    <mergeCell ref="F6:M6"/>
    <mergeCell ref="C1:E1"/>
    <mergeCell ref="C2:E2"/>
    <mergeCell ref="C3:E3"/>
    <mergeCell ref="F3:M3"/>
    <mergeCell ref="F4:M4"/>
  </mergeCells>
  <conditionalFormatting sqref="N11:N17 N19:N21 N23:N25 N27:N29 N31:N33 N35:N37 N39:N41">
    <cfRule type="cellIs" dxfId="143" priority="96" operator="equal">
      <formula>"NO"</formula>
    </cfRule>
  </conditionalFormatting>
  <conditionalFormatting sqref="N18">
    <cfRule type="cellIs" dxfId="142" priority="94" operator="equal">
      <formula>"NO"</formula>
    </cfRule>
  </conditionalFormatting>
  <conditionalFormatting sqref="N22">
    <cfRule type="cellIs" dxfId="141" priority="92" operator="equal">
      <formula>"NO"</formula>
    </cfRule>
  </conditionalFormatting>
  <conditionalFormatting sqref="N26">
    <cfRule type="cellIs" dxfId="140" priority="90" operator="equal">
      <formula>"NO"</formula>
    </cfRule>
  </conditionalFormatting>
  <conditionalFormatting sqref="N30">
    <cfRule type="cellIs" dxfId="139" priority="88" operator="equal">
      <formula>"NO"</formula>
    </cfRule>
  </conditionalFormatting>
  <conditionalFormatting sqref="N34">
    <cfRule type="cellIs" dxfId="138" priority="86" operator="equal">
      <formula>"NO"</formula>
    </cfRule>
  </conditionalFormatting>
  <conditionalFormatting sqref="N38">
    <cfRule type="cellIs" dxfId="137" priority="84" operator="equal">
      <formula>"NO"</formula>
    </cfRule>
  </conditionalFormatting>
  <conditionalFormatting sqref="N42">
    <cfRule type="cellIs" dxfId="136" priority="82" operator="equal">
      <formula>"NO"</formula>
    </cfRule>
  </conditionalFormatting>
  <conditionalFormatting sqref="O23">
    <cfRule type="containsText" dxfId="135" priority="52" operator="containsText" text="Drawdown Time Exceeded">
      <formula>NOT(ISERROR(SEARCH("Drawdown Time Exceeded",O23)))</formula>
    </cfRule>
    <cfRule type="containsText" dxfId="134" priority="54" operator="containsText" text="Loading Ratio Exceeded">
      <formula>NOT(ISERROR(SEARCH("Loading Ratio Exceeded",O23)))</formula>
    </cfRule>
  </conditionalFormatting>
  <conditionalFormatting sqref="O24">
    <cfRule type="containsText" dxfId="133" priority="53" operator="containsText" text="Loading Ratio Exceeded">
      <formula>NOT(ISERROR(SEARCH("Loading Ratio Exceeded",O24)))</formula>
    </cfRule>
  </conditionalFormatting>
  <conditionalFormatting sqref="M12">
    <cfRule type="containsText" dxfId="132" priority="38" operator="containsText" text="Drawdown Time Exceeded">
      <formula>NOT(ISERROR(SEARCH("Drawdown Time Exceeded",M12)))</formula>
    </cfRule>
    <cfRule type="containsText" dxfId="131" priority="39" operator="containsText" text="Loading Ratio Exceeded">
      <formula>NOT(ISERROR(SEARCH("Loading Ratio Exceeded",M12)))</formula>
    </cfRule>
  </conditionalFormatting>
  <conditionalFormatting sqref="O11">
    <cfRule type="containsText" dxfId="130" priority="35" operator="containsText" text="Drawdown Time Exceeded">
      <formula>NOT(ISERROR(SEARCH("Drawdown Time Exceeded",O11)))</formula>
    </cfRule>
    <cfRule type="containsText" dxfId="129" priority="37" operator="containsText" text="Loading Ratio Exceeded">
      <formula>NOT(ISERROR(SEARCH("Loading Ratio Exceeded",O11)))</formula>
    </cfRule>
  </conditionalFormatting>
  <conditionalFormatting sqref="O12">
    <cfRule type="containsText" dxfId="128" priority="36" operator="containsText" text="Loading Ratio Exceeded">
      <formula>NOT(ISERROR(SEARCH("Loading Ratio Exceeded",O12)))</formula>
    </cfRule>
  </conditionalFormatting>
  <conditionalFormatting sqref="O15">
    <cfRule type="containsText" dxfId="127" priority="32" operator="containsText" text="Drawdown Time Exceeded">
      <formula>NOT(ISERROR(SEARCH("Drawdown Time Exceeded",O15)))</formula>
    </cfRule>
    <cfRule type="containsText" dxfId="126" priority="34" operator="containsText" text="Loading Ratio Exceeded">
      <formula>NOT(ISERROR(SEARCH("Loading Ratio Exceeded",O15)))</formula>
    </cfRule>
  </conditionalFormatting>
  <conditionalFormatting sqref="O16">
    <cfRule type="containsText" dxfId="125" priority="33" operator="containsText" text="Loading Ratio Exceeded">
      <formula>NOT(ISERROR(SEARCH("Loading Ratio Exceeded",O16)))</formula>
    </cfRule>
  </conditionalFormatting>
  <conditionalFormatting sqref="O19">
    <cfRule type="containsText" dxfId="124" priority="29" operator="containsText" text="Drawdown Time Exceeded">
      <formula>NOT(ISERROR(SEARCH("Drawdown Time Exceeded",O19)))</formula>
    </cfRule>
    <cfRule type="containsText" dxfId="123" priority="31" operator="containsText" text="Loading Ratio Exceeded">
      <formula>NOT(ISERROR(SEARCH("Loading Ratio Exceeded",O19)))</formula>
    </cfRule>
  </conditionalFormatting>
  <conditionalFormatting sqref="O20">
    <cfRule type="containsText" dxfId="122" priority="30" operator="containsText" text="Loading Ratio Exceeded">
      <formula>NOT(ISERROR(SEARCH("Loading Ratio Exceeded",O20)))</formula>
    </cfRule>
  </conditionalFormatting>
  <conditionalFormatting sqref="O27">
    <cfRule type="containsText" dxfId="121" priority="26" operator="containsText" text="Drawdown Time Exceeded">
      <formula>NOT(ISERROR(SEARCH("Drawdown Time Exceeded",O27)))</formula>
    </cfRule>
    <cfRule type="containsText" dxfId="120" priority="28" operator="containsText" text="Loading Ratio Exceeded">
      <formula>NOT(ISERROR(SEARCH("Loading Ratio Exceeded",O27)))</formula>
    </cfRule>
  </conditionalFormatting>
  <conditionalFormatting sqref="O28">
    <cfRule type="containsText" dxfId="119" priority="27" operator="containsText" text="Loading Ratio Exceeded">
      <formula>NOT(ISERROR(SEARCH("Loading Ratio Exceeded",O28)))</formula>
    </cfRule>
  </conditionalFormatting>
  <conditionalFormatting sqref="O31">
    <cfRule type="containsText" dxfId="118" priority="23" operator="containsText" text="Drawdown Time Exceeded">
      <formula>NOT(ISERROR(SEARCH("Drawdown Time Exceeded",O31)))</formula>
    </cfRule>
    <cfRule type="containsText" dxfId="117" priority="25" operator="containsText" text="Loading Ratio Exceeded">
      <formula>NOT(ISERROR(SEARCH("Loading Ratio Exceeded",O31)))</formula>
    </cfRule>
  </conditionalFormatting>
  <conditionalFormatting sqref="O32">
    <cfRule type="containsText" dxfId="116" priority="24" operator="containsText" text="Loading Ratio Exceeded">
      <formula>NOT(ISERROR(SEARCH("Loading Ratio Exceeded",O32)))</formula>
    </cfRule>
  </conditionalFormatting>
  <conditionalFormatting sqref="O35">
    <cfRule type="containsText" dxfId="115" priority="20" operator="containsText" text="Drawdown Time Exceeded">
      <formula>NOT(ISERROR(SEARCH("Drawdown Time Exceeded",O35)))</formula>
    </cfRule>
    <cfRule type="containsText" dxfId="114" priority="22" operator="containsText" text="Loading Ratio Exceeded">
      <formula>NOT(ISERROR(SEARCH("Loading Ratio Exceeded",O35)))</formula>
    </cfRule>
  </conditionalFormatting>
  <conditionalFormatting sqref="O36">
    <cfRule type="containsText" dxfId="113" priority="21" operator="containsText" text="Loading Ratio Exceeded">
      <formula>NOT(ISERROR(SEARCH("Loading Ratio Exceeded",O36)))</formula>
    </cfRule>
  </conditionalFormatting>
  <conditionalFormatting sqref="O39">
    <cfRule type="containsText" dxfId="112" priority="17" operator="containsText" text="Drawdown Time Exceeded">
      <formula>NOT(ISERROR(SEARCH("Drawdown Time Exceeded",O39)))</formula>
    </cfRule>
    <cfRule type="containsText" dxfId="111" priority="19" operator="containsText" text="Loading Ratio Exceeded">
      <formula>NOT(ISERROR(SEARCH("Loading Ratio Exceeded",O39)))</formula>
    </cfRule>
  </conditionalFormatting>
  <conditionalFormatting sqref="O40">
    <cfRule type="containsText" dxfId="110" priority="18" operator="containsText" text="Loading Ratio Exceeded">
      <formula>NOT(ISERROR(SEARCH("Loading Ratio Exceeded",O40)))</formula>
    </cfRule>
  </conditionalFormatting>
  <conditionalFormatting sqref="O13">
    <cfRule type="containsText" dxfId="109" priority="15" operator="containsText" text="Surface Storage Depth Must be 1.0' or Less">
      <formula>NOT(ISERROR(SEARCH("Surface Storage Depth Must be 1.0' or Less",O13)))</formula>
    </cfRule>
    <cfRule type="containsText" dxfId="108" priority="16" operator="containsText" text="Loading Ratio Exceeded">
      <formula>NOT(ISERROR(SEARCH("Loading Ratio Exceeded",O13)))</formula>
    </cfRule>
  </conditionalFormatting>
  <conditionalFormatting sqref="O17">
    <cfRule type="containsText" dxfId="107" priority="13" operator="containsText" text="Surface Storage Depth Must be 1.0' or Less">
      <formula>NOT(ISERROR(SEARCH("Surface Storage Depth Must be 1.0' or Less",O17)))</formula>
    </cfRule>
    <cfRule type="containsText" dxfId="106" priority="14" operator="containsText" text="Loading Ratio Exceeded">
      <formula>NOT(ISERROR(SEARCH("Loading Ratio Exceeded",O17)))</formula>
    </cfRule>
  </conditionalFormatting>
  <conditionalFormatting sqref="O21">
    <cfRule type="containsText" dxfId="105" priority="11" operator="containsText" text="Surface Storage Depth Must be 1.0' or Less">
      <formula>NOT(ISERROR(SEARCH("Surface Storage Depth Must be 1.0' or Less",O21)))</formula>
    </cfRule>
    <cfRule type="containsText" dxfId="104" priority="12" operator="containsText" text="Loading Ratio Exceeded">
      <formula>NOT(ISERROR(SEARCH("Loading Ratio Exceeded",O21)))</formula>
    </cfRule>
  </conditionalFormatting>
  <conditionalFormatting sqref="O25">
    <cfRule type="containsText" dxfId="103" priority="9" operator="containsText" text="Surface Storage Depth Must be 1.0' or Less">
      <formula>NOT(ISERROR(SEARCH("Surface Storage Depth Must be 1.0' or Less",O25)))</formula>
    </cfRule>
    <cfRule type="containsText" dxfId="102" priority="10" operator="containsText" text="Loading Ratio Exceeded">
      <formula>NOT(ISERROR(SEARCH("Loading Ratio Exceeded",O25)))</formula>
    </cfRule>
  </conditionalFormatting>
  <conditionalFormatting sqref="O29">
    <cfRule type="containsText" dxfId="101" priority="7" operator="containsText" text="Surface Storage Depth Must be 1.0' or Less">
      <formula>NOT(ISERROR(SEARCH("Surface Storage Depth Must be 1.0' or Less",O29)))</formula>
    </cfRule>
    <cfRule type="containsText" dxfId="100" priority="8" operator="containsText" text="Loading Ratio Exceeded">
      <formula>NOT(ISERROR(SEARCH("Loading Ratio Exceeded",O29)))</formula>
    </cfRule>
  </conditionalFormatting>
  <conditionalFormatting sqref="O33">
    <cfRule type="containsText" dxfId="99" priority="5" operator="containsText" text="Surface Storage Depth Must be 1.0' or Less">
      <formula>NOT(ISERROR(SEARCH("Surface Storage Depth Must be 1.0' or Less",O33)))</formula>
    </cfRule>
    <cfRule type="containsText" dxfId="98" priority="6" operator="containsText" text="Loading Ratio Exceeded">
      <formula>NOT(ISERROR(SEARCH("Loading Ratio Exceeded",O33)))</formula>
    </cfRule>
  </conditionalFormatting>
  <conditionalFormatting sqref="O37">
    <cfRule type="containsText" dxfId="97" priority="3" operator="containsText" text="Surface Storage Depth Must be 1.0' or Less">
      <formula>NOT(ISERROR(SEARCH("Surface Storage Depth Must be 1.0' or Less",O37)))</formula>
    </cfRule>
    <cfRule type="containsText" dxfId="96" priority="4" operator="containsText" text="Loading Ratio Exceeded">
      <formula>NOT(ISERROR(SEARCH("Loading Ratio Exceeded",O37)))</formula>
    </cfRule>
  </conditionalFormatting>
  <conditionalFormatting sqref="O41">
    <cfRule type="containsText" dxfId="95" priority="1" operator="containsText" text="Surface Storage Depth Must be 1.0' or Less">
      <formula>NOT(ISERROR(SEARCH("Surface Storage Depth Must be 1.0' or Less",O41)))</formula>
    </cfRule>
    <cfRule type="containsText" dxfId="94" priority="2" operator="containsText" text="Loading Ratio Exceeded">
      <formula>NOT(ISERROR(SEARCH("Loading Ratio Exceeded",O41)))</formula>
    </cfRule>
  </conditionalFormatting>
  <dataValidations count="1">
    <dataValidation type="list" allowBlank="1" showInputMessage="1" showErrorMessage="1" sqref="C11 C15 C19 C23 C27 C31 C35 C39">
      <formula1>$S$9:$S$16</formula1>
    </dataValidation>
  </dataValidations>
  <printOptions horizontalCentered="1"/>
  <pageMargins left="0.2" right="0.2" top="0.5" bottom="0.5" header="0.3" footer="0.3"/>
  <pageSetup scale="6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5" operator="containsText" id="{84067734-1A7F-43A2-9EEC-4CAFB5D7CBAB}">
            <xm:f>NOT(ISERROR(SEARCH("YES",N11)))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N11:N17 N19:N21 N23:N25 N27:N29 N31:N33 N35:N37 N39:N41</xm:sqref>
        </x14:conditionalFormatting>
        <x14:conditionalFormatting xmlns:xm="http://schemas.microsoft.com/office/excel/2006/main">
          <x14:cfRule type="containsText" priority="91" operator="containsText" id="{D4426D61-2EBD-42C3-AA48-F5FC8B4B5D60}">
            <xm:f>NOT(ISERROR(SEARCH("YES",N22)))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93" operator="containsText" id="{4D8ED8EF-C6DF-474D-A7C3-66BD348E8B58}">
            <xm:f>NOT(ISERROR(SEARCH("YES",N18)))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containsText" priority="81" operator="containsText" id="{CEFACD49-EDD5-4C94-93C5-22B5451E2696}">
            <xm:f>NOT(ISERROR(SEARCH("YES",N42)))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containsText" priority="89" operator="containsText" id="{52EC56B4-C216-42A6-AF91-81AC52C6FE43}">
            <xm:f>NOT(ISERROR(SEARCH("YES",N26)))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87" operator="containsText" id="{C61D5186-41CA-4D6D-A312-0405EAB44DD0}">
            <xm:f>NOT(ISERROR(SEARCH("YES",N30)))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85" operator="containsText" id="{AC5C3C85-1C74-46E7-AEB5-11FDC85BD8A5}">
            <xm:f>NOT(ISERROR(SEARCH("YES",N34)))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83" operator="containsText" id="{174671BE-F0E3-429D-96E2-EEC865C10BF4}">
            <xm:f>NOT(ISERROR(SEARCH("YES",N38)))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N38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60"/>
  <sheetViews>
    <sheetView zoomScaleNormal="100" workbookViewId="0">
      <selection activeCell="C10" sqref="C10"/>
    </sheetView>
  </sheetViews>
  <sheetFormatPr defaultRowHeight="15" x14ac:dyDescent="0.25"/>
  <cols>
    <col min="1" max="1" width="18.7109375" customWidth="1"/>
    <col min="2" max="2" width="20.7109375" customWidth="1"/>
    <col min="3" max="4" width="18.140625" customWidth="1"/>
    <col min="5" max="5" width="14.85546875" customWidth="1"/>
    <col min="6" max="6" width="12.140625" customWidth="1"/>
    <col min="7" max="7" width="25.140625" customWidth="1"/>
    <col min="8" max="8" width="12.42578125" customWidth="1"/>
    <col min="9" max="10" width="14" customWidth="1"/>
    <col min="11" max="11" width="18" customWidth="1"/>
    <col min="12" max="12" width="11.42578125" customWidth="1"/>
    <col min="13" max="13" width="37" customWidth="1"/>
    <col min="14" max="14" width="20.85546875" customWidth="1"/>
    <col min="15" max="36" width="0" hidden="1" customWidth="1"/>
  </cols>
  <sheetData>
    <row r="1" spans="1:44" ht="18.75" thickBot="1" x14ac:dyDescent="0.35">
      <c r="A1" s="116" t="s">
        <v>0</v>
      </c>
      <c r="B1" s="380" t="str">
        <f>'Worksheet 1 (SOV and SCM AREA)'!C1</f>
        <v>Example Project</v>
      </c>
      <c r="C1" s="380"/>
      <c r="D1" s="117"/>
      <c r="E1" s="126"/>
      <c r="F1" s="227"/>
      <c r="G1" s="115"/>
      <c r="H1" s="228"/>
      <c r="I1" s="132"/>
      <c r="J1" s="132"/>
      <c r="K1" s="115"/>
      <c r="L1" s="182" t="s">
        <v>122</v>
      </c>
      <c r="M1" s="229"/>
      <c r="N1" s="123"/>
      <c r="O1" s="124"/>
      <c r="P1" s="118"/>
      <c r="Q1" s="118"/>
      <c r="R1" s="118"/>
      <c r="S1" s="118"/>
      <c r="T1" s="118"/>
      <c r="U1" s="115"/>
      <c r="V1" s="115"/>
      <c r="W1" s="115"/>
      <c r="X1" s="115"/>
      <c r="Y1" s="115"/>
      <c r="Z1" s="115"/>
      <c r="AA1" s="115"/>
      <c r="AB1" s="115"/>
      <c r="AC1" s="115"/>
      <c r="AD1" s="121"/>
      <c r="AE1" s="122"/>
      <c r="AF1" s="115"/>
      <c r="AG1" s="115"/>
      <c r="AH1" s="115"/>
      <c r="AI1" s="115"/>
      <c r="AJ1" s="131" t="s">
        <v>123</v>
      </c>
      <c r="AK1" s="115"/>
      <c r="AL1" s="115"/>
      <c r="AM1" s="115"/>
      <c r="AN1" s="115"/>
      <c r="AO1" s="115"/>
      <c r="AP1" s="115"/>
      <c r="AQ1" s="115"/>
      <c r="AR1" s="115"/>
    </row>
    <row r="2" spans="1:44" ht="16.5" x14ac:dyDescent="0.3">
      <c r="A2" s="116" t="s">
        <v>4</v>
      </c>
      <c r="B2" s="381">
        <f>'Worksheet 1 (SOV and SCM AREA)'!C2</f>
        <v>43068</v>
      </c>
      <c r="C2" s="381"/>
      <c r="D2" s="382" t="s">
        <v>167</v>
      </c>
      <c r="E2" s="383"/>
      <c r="F2" s="383"/>
      <c r="G2" s="383"/>
      <c r="H2" s="383"/>
      <c r="I2" s="384"/>
      <c r="K2" s="115"/>
      <c r="L2" s="231"/>
      <c r="M2" s="229"/>
      <c r="N2" s="123"/>
      <c r="O2" s="124"/>
      <c r="P2" s="118"/>
      <c r="Q2" s="118"/>
      <c r="R2" s="118"/>
      <c r="S2" s="118"/>
      <c r="T2" s="118"/>
      <c r="U2" s="115"/>
      <c r="V2" s="115"/>
      <c r="W2" s="115"/>
      <c r="X2" s="115"/>
      <c r="Y2" s="115"/>
      <c r="Z2" s="115"/>
      <c r="AA2" s="115"/>
      <c r="AB2" s="115"/>
      <c r="AC2" s="115"/>
      <c r="AD2" s="300"/>
      <c r="AE2" s="122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</row>
    <row r="3" spans="1:44" ht="17.25" thickBot="1" x14ac:dyDescent="0.35">
      <c r="A3" s="116" t="s">
        <v>5</v>
      </c>
      <c r="B3" s="380" t="str">
        <f>'Worksheet 1 (SOV and SCM AREA)'!C3</f>
        <v>I. B. A'Designer</v>
      </c>
      <c r="C3" s="380"/>
      <c r="D3" s="385" t="s">
        <v>168</v>
      </c>
      <c r="E3" s="386"/>
      <c r="F3" s="386"/>
      <c r="G3" s="386"/>
      <c r="H3" s="386"/>
      <c r="I3" s="387"/>
      <c r="K3" s="115"/>
      <c r="L3" s="231"/>
      <c r="M3" s="229"/>
      <c r="N3" s="123"/>
      <c r="O3" s="124"/>
      <c r="P3" s="118"/>
      <c r="Q3" s="118"/>
      <c r="R3" s="118"/>
      <c r="S3" s="118"/>
      <c r="T3" s="118"/>
      <c r="U3" s="115"/>
      <c r="V3" s="115"/>
      <c r="W3" s="115"/>
      <c r="X3" s="115"/>
      <c r="Y3" s="115"/>
      <c r="Z3" s="115"/>
      <c r="AA3" s="115"/>
      <c r="AB3" s="115"/>
      <c r="AC3" s="115"/>
      <c r="AD3" s="300"/>
      <c r="AE3" s="13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</row>
    <row r="4" spans="1:44" ht="16.5" x14ac:dyDescent="0.3">
      <c r="A4" s="115"/>
      <c r="B4" s="115"/>
      <c r="C4" s="233"/>
      <c r="D4" s="232"/>
      <c r="E4" s="232"/>
      <c r="F4" s="232"/>
      <c r="G4" s="115"/>
      <c r="H4" s="230"/>
      <c r="I4" s="184"/>
      <c r="J4" s="184"/>
      <c r="K4" s="115"/>
      <c r="L4" s="231"/>
      <c r="M4" s="229"/>
      <c r="N4" s="118"/>
      <c r="O4" s="130" t="s">
        <v>2</v>
      </c>
      <c r="P4" s="118"/>
      <c r="Q4" s="118"/>
      <c r="R4" s="118"/>
      <c r="S4" s="118"/>
      <c r="T4" s="118"/>
      <c r="U4" s="115"/>
      <c r="V4" s="115"/>
      <c r="W4" s="115"/>
      <c r="X4" s="115"/>
      <c r="Y4" s="115"/>
      <c r="Z4" s="115"/>
      <c r="AA4" s="115"/>
      <c r="AB4" s="115"/>
      <c r="AC4" s="115"/>
      <c r="AD4" s="234"/>
      <c r="AE4" s="13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</row>
    <row r="5" spans="1:44" ht="16.5" x14ac:dyDescent="0.3">
      <c r="A5" s="137"/>
      <c r="B5" s="297" t="s">
        <v>6</v>
      </c>
      <c r="C5" s="235"/>
      <c r="D5" s="232"/>
      <c r="F5" s="286" t="s">
        <v>159</v>
      </c>
      <c r="G5" s="313"/>
      <c r="H5" s="115"/>
      <c r="I5" s="184"/>
      <c r="J5" s="184"/>
      <c r="K5" s="115"/>
      <c r="L5" s="231"/>
      <c r="M5" s="229"/>
      <c r="N5" s="123"/>
      <c r="O5" s="124"/>
      <c r="P5" s="118"/>
      <c r="Q5" s="118"/>
      <c r="R5" s="118"/>
      <c r="S5" s="118"/>
      <c r="T5" s="118"/>
      <c r="U5" s="115"/>
      <c r="V5" s="115"/>
      <c r="W5" s="115"/>
      <c r="X5" s="115"/>
      <c r="Y5" s="115"/>
      <c r="Z5" s="115"/>
      <c r="AA5" s="115"/>
      <c r="AB5" s="115"/>
      <c r="AC5" s="115"/>
      <c r="AD5" s="135"/>
      <c r="AE5" s="13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</row>
    <row r="6" spans="1:44" ht="16.5" x14ac:dyDescent="0.3">
      <c r="A6" s="296"/>
      <c r="B6" s="115"/>
      <c r="C6" s="236"/>
      <c r="D6" s="126"/>
      <c r="E6" s="132"/>
      <c r="F6" s="237"/>
      <c r="G6" s="184"/>
      <c r="H6" s="115"/>
      <c r="I6" s="184"/>
      <c r="J6" s="184"/>
      <c r="K6" s="115"/>
      <c r="L6" s="233"/>
      <c r="M6" s="229"/>
      <c r="N6" s="118"/>
      <c r="O6" s="136"/>
      <c r="P6" s="118"/>
      <c r="Q6" s="118"/>
      <c r="R6" s="118"/>
      <c r="S6" s="118"/>
      <c r="T6" s="118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</row>
    <row r="7" spans="1:44" ht="17.25" thickBot="1" x14ac:dyDescent="0.35">
      <c r="A7" s="301"/>
      <c r="B7" s="238"/>
      <c r="C7" s="239"/>
      <c r="D7" s="301"/>
      <c r="E7" s="301"/>
      <c r="F7" s="240"/>
      <c r="G7" s="189"/>
      <c r="H7" s="301"/>
      <c r="I7" s="301"/>
      <c r="J7" s="301"/>
      <c r="K7" s="139"/>
      <c r="L7" s="241"/>
      <c r="M7" s="242"/>
      <c r="N7" s="171"/>
      <c r="O7" s="191"/>
      <c r="P7" s="171"/>
      <c r="Q7" s="171"/>
      <c r="R7" s="171"/>
      <c r="S7" s="171"/>
      <c r="T7" s="171"/>
      <c r="U7" s="171" t="s">
        <v>124</v>
      </c>
      <c r="V7" s="171" t="s">
        <v>125</v>
      </c>
      <c r="W7" s="171" t="s">
        <v>126</v>
      </c>
      <c r="X7" s="171" t="s">
        <v>127</v>
      </c>
      <c r="Y7" s="171" t="s">
        <v>128</v>
      </c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</row>
    <row r="8" spans="1:44" ht="44.25" customHeight="1" x14ac:dyDescent="0.3">
      <c r="A8" s="85" t="s">
        <v>129</v>
      </c>
      <c r="B8" s="243" t="s">
        <v>130</v>
      </c>
      <c r="C8" s="244" t="s">
        <v>166</v>
      </c>
      <c r="D8" s="192" t="s">
        <v>131</v>
      </c>
      <c r="E8" s="141" t="s">
        <v>132</v>
      </c>
      <c r="F8" s="245" t="s">
        <v>133</v>
      </c>
      <c r="G8" s="142" t="s">
        <v>134</v>
      </c>
      <c r="H8" s="142" t="s">
        <v>104</v>
      </c>
      <c r="I8" s="141" t="s">
        <v>135</v>
      </c>
      <c r="J8" s="141" t="s">
        <v>136</v>
      </c>
      <c r="K8" s="142" t="s">
        <v>137</v>
      </c>
      <c r="L8" s="246" t="s">
        <v>162</v>
      </c>
      <c r="M8" s="242"/>
      <c r="N8" s="176"/>
      <c r="O8" s="19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247" t="s">
        <v>139</v>
      </c>
      <c r="AD8" s="248" t="s">
        <v>140</v>
      </c>
      <c r="AE8" s="249" t="s">
        <v>138</v>
      </c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</row>
    <row r="9" spans="1:44" ht="18.75" thickBot="1" x14ac:dyDescent="0.35">
      <c r="A9" s="314"/>
      <c r="B9" s="315" t="s">
        <v>94</v>
      </c>
      <c r="C9" s="250"/>
      <c r="D9" s="197"/>
      <c r="E9" s="144" t="s">
        <v>141</v>
      </c>
      <c r="F9" s="251"/>
      <c r="G9" s="144" t="s">
        <v>142</v>
      </c>
      <c r="H9" s="144" t="s">
        <v>93</v>
      </c>
      <c r="I9" s="144" t="s">
        <v>93</v>
      </c>
      <c r="J9" s="144" t="s">
        <v>93</v>
      </c>
      <c r="K9" s="144" t="s">
        <v>142</v>
      </c>
      <c r="L9" s="252"/>
      <c r="M9" s="242"/>
      <c r="N9" s="176"/>
      <c r="O9" s="136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253"/>
      <c r="AD9" s="253"/>
      <c r="AE9" s="225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</row>
    <row r="10" spans="1:44" ht="16.5" x14ac:dyDescent="0.3">
      <c r="A10" s="316">
        <v>1</v>
      </c>
      <c r="B10" s="317">
        <f>'Summary Table'!$C$13</f>
        <v>0</v>
      </c>
      <c r="C10" s="295"/>
      <c r="D10" s="254">
        <v>2</v>
      </c>
      <c r="E10" s="255">
        <v>3.7</v>
      </c>
      <c r="F10" s="377">
        <f>IF(C10="",0,((1000/C10)-10))</f>
        <v>0</v>
      </c>
      <c r="G10" s="94">
        <f>IF(E10="",0,((E10-0.2*F10)^2)/(E10+0.8*F10))</f>
        <v>3.7</v>
      </c>
      <c r="H10" s="371">
        <f>'Summary Table'!$I$13</f>
        <v>0</v>
      </c>
      <c r="I10" s="371">
        <f>'Worksheet 3 (SCM Sizing)'!T20</f>
        <v>0</v>
      </c>
      <c r="J10" s="374">
        <f>I10+H10</f>
        <v>0</v>
      </c>
      <c r="K10" s="94" t="e">
        <f>G10-(J10/$B$10)*12</f>
        <v>#DIV/0!</v>
      </c>
      <c r="L10" s="256" t="e">
        <f>Y10</f>
        <v>#DIV/0!</v>
      </c>
      <c r="M10" s="319" t="e">
        <f>IF(K10&lt;0,"      Attenuation sufficient",IF($B$10=0," ",IF(L10&gt;$G$5,"      Additional Attenuation Required", "      Attenuation sufficient")))</f>
        <v>#DIV/0!</v>
      </c>
      <c r="N10" s="298"/>
      <c r="O10" s="320"/>
      <c r="P10" s="299"/>
      <c r="Q10" s="299"/>
      <c r="R10" s="299"/>
      <c r="S10" s="321"/>
      <c r="T10" s="299"/>
      <c r="U10" s="299">
        <v>0.04</v>
      </c>
      <c r="V10" s="299" t="e">
        <f>(-0.4*E10-0.8*K10)</f>
        <v>#DIV/0!</v>
      </c>
      <c r="W10" s="299" t="e">
        <f>E10^2-K10*E10</f>
        <v>#DIV/0!</v>
      </c>
      <c r="X10" s="299" t="e">
        <f>(-V10-(V10^2-4*U10*W10)^0.5)/(2*U10)</f>
        <v>#DIV/0!</v>
      </c>
      <c r="Y10" s="299" t="e">
        <f>1000/(X10+10)</f>
        <v>#DIV/0!</v>
      </c>
      <c r="Z10" s="299"/>
      <c r="AA10" s="299"/>
      <c r="AB10" s="299"/>
      <c r="AC10" s="254">
        <v>0.66043147592086748</v>
      </c>
      <c r="AD10" s="322">
        <f>((E10-0.2*AC10)^2)/(E10+0.8*AC10)</f>
        <v>3.0106359960883515</v>
      </c>
      <c r="AE10" s="323">
        <f>1000/(AC10+10)</f>
        <v>93.804833534059014</v>
      </c>
      <c r="AF10" s="299"/>
      <c r="AG10" s="299"/>
      <c r="AH10" s="299"/>
      <c r="AI10" s="299"/>
      <c r="AJ10" s="299"/>
      <c r="AK10" s="299"/>
      <c r="AL10" s="299"/>
      <c r="AM10" s="171"/>
      <c r="AN10" s="171"/>
      <c r="AO10" s="171"/>
      <c r="AP10" s="171"/>
      <c r="AQ10" s="171"/>
      <c r="AR10" s="171"/>
    </row>
    <row r="11" spans="1:44" ht="16.5" x14ac:dyDescent="0.3">
      <c r="A11" s="257"/>
      <c r="B11" s="258"/>
      <c r="C11" s="259"/>
      <c r="D11" s="260">
        <v>5</v>
      </c>
      <c r="E11" s="261">
        <v>4.5</v>
      </c>
      <c r="F11" s="378"/>
      <c r="G11" s="95">
        <f>IF(E11="",0,((E11-0.2*F10)^2)/(E11+0.8*F10))</f>
        <v>4.5</v>
      </c>
      <c r="H11" s="372"/>
      <c r="I11" s="372"/>
      <c r="J11" s="375"/>
      <c r="K11" s="95" t="e">
        <f>G11-(J10/$B$10)*12</f>
        <v>#DIV/0!</v>
      </c>
      <c r="L11" s="262" t="e">
        <f>Y11</f>
        <v>#DIV/0!</v>
      </c>
      <c r="M11" s="319" t="e">
        <f>IF(K11&lt;0,"      Attenuation sufficient",IF($B$10=0," ",IF(L11&gt;$G$5,"      Additional Attenuation Required", "      Attenuation sufficient")))</f>
        <v>#DIV/0!</v>
      </c>
      <c r="N11" s="324"/>
      <c r="O11" s="320"/>
      <c r="P11" s="299"/>
      <c r="Q11" s="299"/>
      <c r="R11" s="299"/>
      <c r="S11" s="321"/>
      <c r="T11" s="299"/>
      <c r="U11" s="299">
        <v>0.04</v>
      </c>
      <c r="V11" s="299" t="e">
        <f>(-0.4*E11-0.8*K11)</f>
        <v>#DIV/0!</v>
      </c>
      <c r="W11" s="299" t="e">
        <f>E11^2-K11*E11</f>
        <v>#DIV/0!</v>
      </c>
      <c r="X11" s="299" t="e">
        <f>(-V11-(V11^2-4*U11*W11)^0.5)/(2*U11)</f>
        <v>#DIV/0!</v>
      </c>
      <c r="Y11" s="299" t="e">
        <f>1000/(X11+10)</f>
        <v>#DIV/0!</v>
      </c>
      <c r="Z11" s="299"/>
      <c r="AA11" s="299"/>
      <c r="AB11" s="299"/>
      <c r="AC11" s="260"/>
      <c r="AD11" s="325"/>
      <c r="AE11" s="326"/>
      <c r="AF11" s="299"/>
      <c r="AG11" s="299"/>
      <c r="AH11" s="299"/>
      <c r="AI11" s="299"/>
      <c r="AJ11" s="299"/>
      <c r="AK11" s="299"/>
      <c r="AL11" s="299"/>
      <c r="AM11" s="171"/>
      <c r="AN11" s="171"/>
      <c r="AO11" s="171"/>
      <c r="AP11" s="171"/>
      <c r="AQ11" s="171"/>
      <c r="AR11" s="171"/>
    </row>
    <row r="12" spans="1:44" ht="16.5" x14ac:dyDescent="0.3">
      <c r="A12" s="257"/>
      <c r="B12" s="258"/>
      <c r="C12" s="259"/>
      <c r="D12" s="260">
        <v>10</v>
      </c>
      <c r="E12" s="261">
        <v>5.0999999999999996</v>
      </c>
      <c r="F12" s="378"/>
      <c r="G12" s="95">
        <f>IF(E12="",0,((E12-0.2*F10)^2)/(E12+0.8*F10))</f>
        <v>5.0999999999999996</v>
      </c>
      <c r="H12" s="372"/>
      <c r="I12" s="372"/>
      <c r="J12" s="375"/>
      <c r="K12" s="95" t="e">
        <f>G12-(J10/$B$10)*12</f>
        <v>#DIV/0!</v>
      </c>
      <c r="L12" s="262" t="e">
        <f>Y12</f>
        <v>#DIV/0!</v>
      </c>
      <c r="M12" s="319" t="e">
        <f>IF(K12&lt;0,"      Attenuation sufficient",IF($B$10=0," ",IF(L12&gt;$G$5,"      Additional Attenuation Required", "      Attenuation sufficient")))</f>
        <v>#DIV/0!</v>
      </c>
      <c r="N12" s="324"/>
      <c r="O12" s="320"/>
      <c r="P12" s="299"/>
      <c r="Q12" s="299"/>
      <c r="R12" s="299"/>
      <c r="S12" s="321"/>
      <c r="T12" s="299"/>
      <c r="U12" s="299">
        <v>0.04</v>
      </c>
      <c r="V12" s="299" t="e">
        <f>(-0.4*E12-0.8*K12)</f>
        <v>#DIV/0!</v>
      </c>
      <c r="W12" s="299" t="e">
        <f>E12^2-K12*E12</f>
        <v>#DIV/0!</v>
      </c>
      <c r="X12" s="299" t="e">
        <f>(-V12-(V12^2-4*U12*W12)^0.5)/(2*U12)</f>
        <v>#DIV/0!</v>
      </c>
      <c r="Y12" s="299" t="e">
        <f>1000/(X12+10)</f>
        <v>#DIV/0!</v>
      </c>
      <c r="Z12" s="299"/>
      <c r="AA12" s="299"/>
      <c r="AB12" s="299"/>
      <c r="AC12" s="260"/>
      <c r="AD12" s="325"/>
      <c r="AE12" s="326"/>
      <c r="AF12" s="299"/>
      <c r="AG12" s="299"/>
      <c r="AH12" s="299"/>
      <c r="AI12" s="299"/>
      <c r="AJ12" s="299"/>
      <c r="AK12" s="299"/>
      <c r="AL12" s="299"/>
      <c r="AM12" s="171"/>
      <c r="AN12" s="171"/>
      <c r="AO12" s="171"/>
      <c r="AP12" s="171"/>
      <c r="AQ12" s="171"/>
      <c r="AR12" s="171"/>
    </row>
    <row r="13" spans="1:44" ht="16.5" x14ac:dyDescent="0.3">
      <c r="A13" s="263"/>
      <c r="B13" s="98"/>
      <c r="C13" s="264"/>
      <c r="D13" s="265">
        <v>25</v>
      </c>
      <c r="E13" s="266">
        <v>6</v>
      </c>
      <c r="F13" s="378"/>
      <c r="G13" s="95">
        <f>IF(E13="",0,((E13-0.2*F10)^2)/(E13+0.8*F10))</f>
        <v>6</v>
      </c>
      <c r="H13" s="372"/>
      <c r="I13" s="372"/>
      <c r="J13" s="375"/>
      <c r="K13" s="95" t="e">
        <f>G13-(J10/$B$10)*12</f>
        <v>#DIV/0!</v>
      </c>
      <c r="L13" s="262" t="e">
        <f>Y13</f>
        <v>#DIV/0!</v>
      </c>
      <c r="M13" s="319" t="e">
        <f>IF(K13&lt;0,"      Attenuation sufficient",IF($B$10=0," ",IF(L13&gt;$G$5,"      Additional Attenuation Required", "      Attenuation sufficient")))</f>
        <v>#DIV/0!</v>
      </c>
      <c r="N13" s="324"/>
      <c r="O13" s="320"/>
      <c r="P13" s="299"/>
      <c r="Q13" s="299"/>
      <c r="R13" s="299"/>
      <c r="S13" s="321"/>
      <c r="T13" s="299"/>
      <c r="U13" s="299">
        <v>0.04</v>
      </c>
      <c r="V13" s="299" t="e">
        <f>(-0.4*E13-0.8*K13)</f>
        <v>#DIV/0!</v>
      </c>
      <c r="W13" s="299" t="e">
        <f>E13^2-K13*E13</f>
        <v>#DIV/0!</v>
      </c>
      <c r="X13" s="299" t="e">
        <f>(-V13-(V13^2-4*U13*W13)^0.5)/(2*U13)</f>
        <v>#DIV/0!</v>
      </c>
      <c r="Y13" s="299" t="e">
        <f>1000/(X13+10)</f>
        <v>#DIV/0!</v>
      </c>
      <c r="Z13" s="299"/>
      <c r="AA13" s="299"/>
      <c r="AB13" s="299"/>
      <c r="AC13" s="265">
        <v>0.65728021177551577</v>
      </c>
      <c r="AD13" s="327">
        <f>((E13-0.2*AC13)^2)/(E13+0.8*AC13)</f>
        <v>5.2774649283676878</v>
      </c>
      <c r="AE13" s="328">
        <f>1000/(AC13+10)</f>
        <v>93.832570799355821</v>
      </c>
      <c r="AF13" s="299"/>
      <c r="AG13" s="299"/>
      <c r="AH13" s="299"/>
      <c r="AI13" s="299"/>
      <c r="AJ13" s="299"/>
      <c r="AK13" s="299"/>
      <c r="AL13" s="299"/>
      <c r="AM13" s="171"/>
      <c r="AN13" s="171"/>
      <c r="AO13" s="171"/>
      <c r="AP13" s="171"/>
      <c r="AQ13" s="171"/>
      <c r="AR13" s="171"/>
    </row>
    <row r="14" spans="1:44" ht="17.25" thickBot="1" x14ac:dyDescent="0.35">
      <c r="A14" s="267"/>
      <c r="B14" s="268"/>
      <c r="C14" s="269"/>
      <c r="D14" s="270">
        <v>100</v>
      </c>
      <c r="E14" s="271">
        <v>7.4</v>
      </c>
      <c r="F14" s="379"/>
      <c r="G14" s="272">
        <f>IF(E14="",0,((E14-0.2*F10)^2)/(E14+0.8*F10))</f>
        <v>7.4</v>
      </c>
      <c r="H14" s="373"/>
      <c r="I14" s="373"/>
      <c r="J14" s="376"/>
      <c r="K14" s="272" t="e">
        <f>G14-(J10/$B$10)*12</f>
        <v>#DIV/0!</v>
      </c>
      <c r="L14" s="273" t="e">
        <f>Y14</f>
        <v>#DIV/0!</v>
      </c>
      <c r="M14" s="319"/>
      <c r="N14" s="324"/>
      <c r="O14" s="320"/>
      <c r="P14" s="299"/>
      <c r="Q14" s="299"/>
      <c r="R14" s="299"/>
      <c r="S14" s="321"/>
      <c r="T14" s="299"/>
      <c r="U14" s="299">
        <v>0.04</v>
      </c>
      <c r="V14" s="299" t="e">
        <f>(-0.4*E14-0.8*K14)</f>
        <v>#DIV/0!</v>
      </c>
      <c r="W14" s="299" t="e">
        <f>E14^2-K14*E14</f>
        <v>#DIV/0!</v>
      </c>
      <c r="X14" s="299" t="e">
        <f>(-V14-(V14^2-4*U14*W14)^0.5)/(2*U14)</f>
        <v>#DIV/0!</v>
      </c>
      <c r="Y14" s="299" t="e">
        <f>1000/(X14+10)</f>
        <v>#DIV/0!</v>
      </c>
      <c r="Z14" s="299"/>
      <c r="AA14" s="299"/>
      <c r="AB14" s="299"/>
      <c r="AC14" s="269">
        <v>0.6536871577090213</v>
      </c>
      <c r="AD14" s="329">
        <f>((E14-0.2*AC14)^2)/(E14+0.8*AC14)</f>
        <v>6.6695082154396337</v>
      </c>
      <c r="AE14" s="330">
        <f>1000/(AC14+10)</f>
        <v>93.864216697634006</v>
      </c>
      <c r="AF14" s="299"/>
      <c r="AG14" s="299"/>
      <c r="AH14" s="299"/>
      <c r="AI14" s="299"/>
      <c r="AJ14" s="299"/>
      <c r="AK14" s="299"/>
      <c r="AL14" s="299"/>
      <c r="AM14" s="171"/>
      <c r="AN14" s="171"/>
      <c r="AO14" s="171"/>
      <c r="AP14" s="171"/>
      <c r="AQ14" s="171"/>
      <c r="AR14" s="171"/>
    </row>
    <row r="15" spans="1:44" ht="17.25" thickBot="1" x14ac:dyDescent="0.35">
      <c r="A15" s="318"/>
      <c r="B15" s="274"/>
      <c r="C15" s="275"/>
      <c r="D15" s="331"/>
      <c r="E15" s="332"/>
      <c r="F15" s="333"/>
      <c r="G15" s="334"/>
      <c r="H15" s="332"/>
      <c r="I15" s="332"/>
      <c r="J15" s="332"/>
      <c r="K15" s="332"/>
      <c r="L15" s="335"/>
      <c r="M15" s="336"/>
      <c r="N15" s="324"/>
      <c r="O15" s="337"/>
      <c r="P15" s="276"/>
      <c r="Q15" s="276"/>
      <c r="R15" s="276"/>
      <c r="S15" s="276"/>
      <c r="T15" s="276"/>
      <c r="U15" s="299"/>
      <c r="V15" s="299"/>
      <c r="W15" s="299"/>
      <c r="X15" s="299"/>
      <c r="Y15" s="299"/>
      <c r="Z15" s="299"/>
      <c r="AA15" s="299"/>
      <c r="AB15" s="299"/>
      <c r="AC15" s="276"/>
      <c r="AD15" s="276"/>
      <c r="AE15" s="276"/>
      <c r="AF15" s="299"/>
      <c r="AG15" s="299"/>
      <c r="AH15" s="299"/>
      <c r="AI15" s="299"/>
      <c r="AJ15" s="299"/>
      <c r="AK15" s="299"/>
      <c r="AL15" s="299"/>
      <c r="AM15" s="171"/>
      <c r="AN15" s="171"/>
      <c r="AO15" s="171"/>
      <c r="AP15" s="171"/>
      <c r="AQ15" s="171"/>
      <c r="AR15" s="171"/>
    </row>
    <row r="16" spans="1:44" ht="16.5" x14ac:dyDescent="0.3">
      <c r="A16" s="316">
        <v>2</v>
      </c>
      <c r="B16" s="317">
        <f>'Summary Table'!$C$14</f>
        <v>0</v>
      </c>
      <c r="C16" s="295"/>
      <c r="D16" s="254">
        <v>2</v>
      </c>
      <c r="E16" s="255">
        <v>3.7</v>
      </c>
      <c r="F16" s="377">
        <f>IF(C16="",0,((1000/C16)-10))</f>
        <v>0</v>
      </c>
      <c r="G16" s="94">
        <f>IF(E16="",0,((E16-0.2*F16)^2)/(E16+0.8*F16))</f>
        <v>3.7</v>
      </c>
      <c r="H16" s="371">
        <f>'Summary Table'!$I$14</f>
        <v>0</v>
      </c>
      <c r="I16" s="371">
        <f>'Worksheet 3 (SCM Sizing)'!T21</f>
        <v>0</v>
      </c>
      <c r="J16" s="374">
        <f>I16+H16</f>
        <v>0</v>
      </c>
      <c r="K16" s="94" t="e">
        <f>G16-(J16/$B$10)*12</f>
        <v>#DIV/0!</v>
      </c>
      <c r="L16" s="256" t="e">
        <f>Y16</f>
        <v>#DIV/0!</v>
      </c>
      <c r="M16" s="319" t="e">
        <f>IF(K16&lt;0,"      Attenuation sufficient",IF($B$16=0," ",IF(L16&gt;$G$5,"      Additional Attenuation Required", "      Attenuation sufficient")))</f>
        <v>#DIV/0!</v>
      </c>
      <c r="N16" s="324"/>
      <c r="O16" s="320"/>
      <c r="P16" s="299"/>
      <c r="Q16" s="299"/>
      <c r="R16" s="299"/>
      <c r="S16" s="321"/>
      <c r="T16" s="299"/>
      <c r="U16" s="299">
        <v>0.04</v>
      </c>
      <c r="V16" s="299" t="e">
        <f>(-0.4*E16-0.8*K16)</f>
        <v>#DIV/0!</v>
      </c>
      <c r="W16" s="299" t="e">
        <f>E16^2-K16*E16</f>
        <v>#DIV/0!</v>
      </c>
      <c r="X16" s="299" t="e">
        <f>(-V16-(V16^2-4*U16*W16)^0.5)/(2*U16)</f>
        <v>#DIV/0!</v>
      </c>
      <c r="Y16" s="299" t="e">
        <f>1000/(X16+10)</f>
        <v>#DIV/0!</v>
      </c>
      <c r="Z16" s="299"/>
      <c r="AA16" s="299"/>
      <c r="AB16" s="299"/>
      <c r="AC16" s="276"/>
      <c r="AD16" s="276"/>
      <c r="AE16" s="276"/>
      <c r="AF16" s="299"/>
      <c r="AG16" s="299"/>
      <c r="AH16" s="299"/>
      <c r="AI16" s="299"/>
      <c r="AJ16" s="299"/>
      <c r="AK16" s="299"/>
      <c r="AL16" s="299"/>
      <c r="AM16" s="171"/>
      <c r="AN16" s="171"/>
      <c r="AO16" s="171"/>
      <c r="AP16" s="171"/>
      <c r="AQ16" s="171"/>
      <c r="AR16" s="171"/>
    </row>
    <row r="17" spans="1:44" ht="16.5" x14ac:dyDescent="0.3">
      <c r="A17" s="257"/>
      <c r="B17" s="258"/>
      <c r="C17" s="259"/>
      <c r="D17" s="260">
        <v>5</v>
      </c>
      <c r="E17" s="261">
        <v>4.5</v>
      </c>
      <c r="F17" s="378"/>
      <c r="G17" s="95">
        <f>IF(E17="",0,((E17-0.2*F16)^2)/(E17+0.8*F16))</f>
        <v>4.5</v>
      </c>
      <c r="H17" s="372"/>
      <c r="I17" s="372"/>
      <c r="J17" s="375"/>
      <c r="K17" s="95" t="e">
        <f>G17-(J16/$B$10)*12</f>
        <v>#DIV/0!</v>
      </c>
      <c r="L17" s="262" t="e">
        <f>Y17</f>
        <v>#DIV/0!</v>
      </c>
      <c r="M17" s="319" t="e">
        <f>IF(K17&lt;0,"      Attenuation sufficient",IF($B$16=0," ",IF(L17&gt;$G$5,"      Additional Attenuation Required", "      Attenuation sufficient")))</f>
        <v>#DIV/0!</v>
      </c>
      <c r="N17" s="324"/>
      <c r="O17" s="320"/>
      <c r="P17" s="299"/>
      <c r="Q17" s="299"/>
      <c r="R17" s="299"/>
      <c r="S17" s="321"/>
      <c r="T17" s="299"/>
      <c r="U17" s="299">
        <v>0.04</v>
      </c>
      <c r="V17" s="299" t="e">
        <f>(-0.4*E17-0.8*K17)</f>
        <v>#DIV/0!</v>
      </c>
      <c r="W17" s="299" t="e">
        <f>E17^2-K17*E17</f>
        <v>#DIV/0!</v>
      </c>
      <c r="X17" s="299" t="e">
        <f>(-V17-(V17^2-4*U17*W17)^0.5)/(2*U17)</f>
        <v>#DIV/0!</v>
      </c>
      <c r="Y17" s="299" t="e">
        <f>1000/(X17+10)</f>
        <v>#DIV/0!</v>
      </c>
      <c r="Z17" s="299"/>
      <c r="AA17" s="299"/>
      <c r="AB17" s="299"/>
      <c r="AC17" s="276"/>
      <c r="AD17" s="276"/>
      <c r="AE17" s="276"/>
      <c r="AF17" s="299"/>
      <c r="AG17" s="299"/>
      <c r="AH17" s="299"/>
      <c r="AI17" s="299"/>
      <c r="AJ17" s="299"/>
      <c r="AK17" s="299"/>
      <c r="AL17" s="299"/>
      <c r="AM17" s="171"/>
      <c r="AN17" s="171"/>
      <c r="AO17" s="171"/>
      <c r="AP17" s="171"/>
      <c r="AQ17" s="171"/>
      <c r="AR17" s="171"/>
    </row>
    <row r="18" spans="1:44" ht="16.5" x14ac:dyDescent="0.3">
      <c r="A18" s="257"/>
      <c r="B18" s="258"/>
      <c r="C18" s="259"/>
      <c r="D18" s="260">
        <v>10</v>
      </c>
      <c r="E18" s="261">
        <v>5.0999999999999996</v>
      </c>
      <c r="F18" s="378"/>
      <c r="G18" s="95">
        <f>IF(E18="",0,((E18-0.2*F16)^2)/(E18+0.8*F16))</f>
        <v>5.0999999999999996</v>
      </c>
      <c r="H18" s="372"/>
      <c r="I18" s="372"/>
      <c r="J18" s="375"/>
      <c r="K18" s="95" t="e">
        <f>G18-(J16/$B$10)*12</f>
        <v>#DIV/0!</v>
      </c>
      <c r="L18" s="262" t="e">
        <f>Y18</f>
        <v>#DIV/0!</v>
      </c>
      <c r="M18" s="319" t="e">
        <f>IF(K18&lt;0,"      Attenuation sufficient",IF($B$16=0," ",IF(L18&gt;$G$5,"      Additional Attenuation Required", "      Attenuation sufficient")))</f>
        <v>#DIV/0!</v>
      </c>
      <c r="N18" s="324"/>
      <c r="O18" s="320"/>
      <c r="P18" s="299"/>
      <c r="Q18" s="299"/>
      <c r="R18" s="299"/>
      <c r="S18" s="321"/>
      <c r="T18" s="299"/>
      <c r="U18" s="299">
        <v>0.04</v>
      </c>
      <c r="V18" s="299" t="e">
        <f>(-0.4*E18-0.8*K18)</f>
        <v>#DIV/0!</v>
      </c>
      <c r="W18" s="299" t="e">
        <f>E18^2-K18*E18</f>
        <v>#DIV/0!</v>
      </c>
      <c r="X18" s="299" t="e">
        <f>(-V18-(V18^2-4*U18*W18)^0.5)/(2*U18)</f>
        <v>#DIV/0!</v>
      </c>
      <c r="Y18" s="299" t="e">
        <f>1000/(X18+10)</f>
        <v>#DIV/0!</v>
      </c>
      <c r="Z18" s="299"/>
      <c r="AA18" s="299"/>
      <c r="AB18" s="299"/>
      <c r="AC18" s="276"/>
      <c r="AD18" s="276"/>
      <c r="AE18" s="276"/>
      <c r="AF18" s="299"/>
      <c r="AG18" s="299"/>
      <c r="AH18" s="299"/>
      <c r="AI18" s="299"/>
      <c r="AJ18" s="299"/>
      <c r="AK18" s="299"/>
      <c r="AL18" s="299"/>
      <c r="AM18" s="171"/>
      <c r="AN18" s="171"/>
      <c r="AO18" s="171"/>
      <c r="AP18" s="171"/>
      <c r="AQ18" s="171"/>
      <c r="AR18" s="171"/>
    </row>
    <row r="19" spans="1:44" ht="16.5" x14ac:dyDescent="0.3">
      <c r="A19" s="263"/>
      <c r="B19" s="98"/>
      <c r="C19" s="264"/>
      <c r="D19" s="265">
        <v>25</v>
      </c>
      <c r="E19" s="266">
        <v>6</v>
      </c>
      <c r="F19" s="378"/>
      <c r="G19" s="95">
        <f>IF(E19="",0,((E19-0.2*F16)^2)/(E19+0.8*F16))</f>
        <v>6</v>
      </c>
      <c r="H19" s="372"/>
      <c r="I19" s="372"/>
      <c r="J19" s="375"/>
      <c r="K19" s="95" t="e">
        <f>G19-(J16/$B$10)*12</f>
        <v>#DIV/0!</v>
      </c>
      <c r="L19" s="262" t="e">
        <f>Y19</f>
        <v>#DIV/0!</v>
      </c>
      <c r="M19" s="319" t="e">
        <f>IF(K19&lt;0,"      Attenuation sufficient",IF($B$16=0," ",IF(L19&gt;$G$5,"      Additional Attenuation Required", "      Attenuation sufficient")))</f>
        <v>#DIV/0!</v>
      </c>
      <c r="N19" s="324"/>
      <c r="O19" s="337"/>
      <c r="P19" s="276"/>
      <c r="Q19" s="276"/>
      <c r="R19" s="276"/>
      <c r="S19" s="276"/>
      <c r="T19" s="276"/>
      <c r="U19" s="299">
        <v>0.04</v>
      </c>
      <c r="V19" s="299" t="e">
        <f>(-0.4*E19-0.8*K19)</f>
        <v>#DIV/0!</v>
      </c>
      <c r="W19" s="299" t="e">
        <f>E19^2-K19*E19</f>
        <v>#DIV/0!</v>
      </c>
      <c r="X19" s="299" t="e">
        <f>(-V19-(V19^2-4*U19*W19)^0.5)/(2*U19)</f>
        <v>#DIV/0!</v>
      </c>
      <c r="Y19" s="299" t="e">
        <f>1000/(X19+10)</f>
        <v>#DIV/0!</v>
      </c>
      <c r="Z19" s="299"/>
      <c r="AA19" s="299"/>
      <c r="AB19" s="299"/>
      <c r="AC19" s="276"/>
      <c r="AD19" s="276"/>
      <c r="AE19" s="276"/>
      <c r="AF19" s="299"/>
      <c r="AG19" s="299"/>
      <c r="AH19" s="299"/>
      <c r="AI19" s="299"/>
      <c r="AJ19" s="299"/>
      <c r="AK19" s="299"/>
      <c r="AL19" s="299"/>
      <c r="AM19" s="171"/>
      <c r="AN19" s="171"/>
      <c r="AO19" s="171"/>
      <c r="AP19" s="171"/>
      <c r="AQ19" s="171"/>
      <c r="AR19" s="171"/>
    </row>
    <row r="20" spans="1:44" ht="17.25" thickBot="1" x14ac:dyDescent="0.35">
      <c r="A20" s="267"/>
      <c r="B20" s="268"/>
      <c r="C20" s="269"/>
      <c r="D20" s="270">
        <v>100</v>
      </c>
      <c r="E20" s="271">
        <v>7.4</v>
      </c>
      <c r="F20" s="379"/>
      <c r="G20" s="272">
        <f>IF(E20="",0,((E20-0.2*F16)^2)/(E20+0.8*F16))</f>
        <v>7.4</v>
      </c>
      <c r="H20" s="373"/>
      <c r="I20" s="373"/>
      <c r="J20" s="376"/>
      <c r="K20" s="272" t="e">
        <f>G20-(J16/$B$10)*12</f>
        <v>#DIV/0!</v>
      </c>
      <c r="L20" s="273" t="e">
        <f>Y20</f>
        <v>#DIV/0!</v>
      </c>
      <c r="M20" s="319"/>
      <c r="N20" s="324"/>
      <c r="O20" s="320"/>
      <c r="P20" s="299"/>
      <c r="Q20" s="299"/>
      <c r="R20" s="299"/>
      <c r="S20" s="321"/>
      <c r="T20" s="299"/>
      <c r="U20" s="299">
        <v>0.04</v>
      </c>
      <c r="V20" s="299" t="e">
        <f>(-0.4*E20-0.8*K20)</f>
        <v>#DIV/0!</v>
      </c>
      <c r="W20" s="299" t="e">
        <f>E20^2-K20*E20</f>
        <v>#DIV/0!</v>
      </c>
      <c r="X20" s="299" t="e">
        <f>(-V20-(V20^2-4*U20*W20)^0.5)/(2*U20)</f>
        <v>#DIV/0!</v>
      </c>
      <c r="Y20" s="299" t="e">
        <f>1000/(X20+10)</f>
        <v>#DIV/0!</v>
      </c>
      <c r="Z20" s="299"/>
      <c r="AA20" s="299"/>
      <c r="AB20" s="299"/>
      <c r="AC20" s="276"/>
      <c r="AD20" s="276"/>
      <c r="AE20" s="276"/>
      <c r="AF20" s="299"/>
      <c r="AG20" s="299"/>
      <c r="AH20" s="299"/>
      <c r="AI20" s="299"/>
      <c r="AJ20" s="299"/>
      <c r="AK20" s="299"/>
      <c r="AL20" s="299"/>
      <c r="AM20" s="171"/>
      <c r="AN20" s="171"/>
      <c r="AO20" s="171"/>
      <c r="AP20" s="171"/>
      <c r="AQ20" s="171"/>
      <c r="AR20" s="171"/>
    </row>
    <row r="21" spans="1:44" ht="17.25" thickBot="1" x14ac:dyDescent="0.35">
      <c r="A21" s="318"/>
      <c r="B21" s="274"/>
      <c r="C21" s="275"/>
      <c r="D21" s="331"/>
      <c r="E21" s="332"/>
      <c r="F21" s="333"/>
      <c r="G21" s="334"/>
      <c r="H21" s="332"/>
      <c r="I21" s="332"/>
      <c r="J21" s="332"/>
      <c r="K21" s="332"/>
      <c r="L21" s="335"/>
      <c r="M21" s="338"/>
      <c r="N21" s="324"/>
      <c r="O21" s="320"/>
      <c r="P21" s="299"/>
      <c r="Q21" s="299"/>
      <c r="R21" s="299"/>
      <c r="S21" s="321"/>
      <c r="T21" s="299"/>
      <c r="U21" s="299"/>
      <c r="V21" s="299"/>
      <c r="W21" s="299"/>
      <c r="X21" s="299"/>
      <c r="Y21" s="299"/>
      <c r="Z21" s="299"/>
      <c r="AA21" s="299"/>
      <c r="AB21" s="299"/>
      <c r="AC21" s="276"/>
      <c r="AD21" s="276"/>
      <c r="AE21" s="276"/>
      <c r="AF21" s="299"/>
      <c r="AG21" s="299"/>
      <c r="AH21" s="299"/>
      <c r="AI21" s="299"/>
      <c r="AJ21" s="299"/>
      <c r="AK21" s="299"/>
      <c r="AL21" s="299"/>
      <c r="AM21" s="171"/>
      <c r="AN21" s="171"/>
      <c r="AO21" s="171"/>
      <c r="AP21" s="171"/>
      <c r="AQ21" s="171"/>
      <c r="AR21" s="171"/>
    </row>
    <row r="22" spans="1:44" ht="16.5" x14ac:dyDescent="0.3">
      <c r="A22" s="316">
        <v>3</v>
      </c>
      <c r="B22" s="317">
        <f>'Summary Table'!$C$15</f>
        <v>0</v>
      </c>
      <c r="C22" s="295"/>
      <c r="D22" s="254">
        <v>2</v>
      </c>
      <c r="E22" s="255">
        <v>3.7</v>
      </c>
      <c r="F22" s="377">
        <f>IF(C22="",0,((1000/C22)-10))</f>
        <v>0</v>
      </c>
      <c r="G22" s="94">
        <f>IF(E22="",0,((E22-0.2*F22)^2)/(E22+0.8*F22))</f>
        <v>3.7</v>
      </c>
      <c r="H22" s="371">
        <f>'Summary Table'!$I$15</f>
        <v>0</v>
      </c>
      <c r="I22" s="371">
        <f>'Worksheet 3 (SCM Sizing)'!T22</f>
        <v>0</v>
      </c>
      <c r="J22" s="374">
        <f>I22+H22</f>
        <v>0</v>
      </c>
      <c r="K22" s="94" t="e">
        <f>G22-(J22/$B$10)*12</f>
        <v>#DIV/0!</v>
      </c>
      <c r="L22" s="256" t="e">
        <f>Y22</f>
        <v>#DIV/0!</v>
      </c>
      <c r="M22" s="319" t="e">
        <f>IF(K22&lt;0,"      Attenuation sufficient",IF($B$22=0," ",IF(L22&gt;$G$5,"      Additional Attenuation Required", "      Attenuation sufficient")))</f>
        <v>#DIV/0!</v>
      </c>
      <c r="N22" s="324"/>
      <c r="O22" s="320"/>
      <c r="P22" s="299"/>
      <c r="Q22" s="299"/>
      <c r="R22" s="299"/>
      <c r="S22" s="321"/>
      <c r="T22" s="299"/>
      <c r="U22" s="299">
        <v>0.04</v>
      </c>
      <c r="V22" s="299" t="e">
        <f>(-0.4*E22-0.8*K22)</f>
        <v>#DIV/0!</v>
      </c>
      <c r="W22" s="299" t="e">
        <f>E22^2-K22*E22</f>
        <v>#DIV/0!</v>
      </c>
      <c r="X22" s="299" t="e">
        <f>(-V22-(V22^2-4*U22*W22)^0.5)/(2*U22)</f>
        <v>#DIV/0!</v>
      </c>
      <c r="Y22" s="299" t="e">
        <f>1000/(X22+10)</f>
        <v>#DIV/0!</v>
      </c>
      <c r="Z22" s="299"/>
      <c r="AA22" s="299"/>
      <c r="AB22" s="299"/>
      <c r="AC22" s="276"/>
      <c r="AD22" s="276"/>
      <c r="AE22" s="276"/>
      <c r="AF22" s="299"/>
      <c r="AG22" s="299"/>
      <c r="AH22" s="299"/>
      <c r="AI22" s="299"/>
      <c r="AJ22" s="299"/>
      <c r="AK22" s="299"/>
      <c r="AL22" s="299"/>
      <c r="AM22" s="171"/>
      <c r="AN22" s="171"/>
      <c r="AO22" s="171"/>
      <c r="AP22" s="171"/>
      <c r="AQ22" s="171"/>
      <c r="AR22" s="171"/>
    </row>
    <row r="23" spans="1:44" ht="16.5" x14ac:dyDescent="0.3">
      <c r="A23" s="257"/>
      <c r="B23" s="258"/>
      <c r="C23" s="259"/>
      <c r="D23" s="260">
        <v>5</v>
      </c>
      <c r="E23" s="261">
        <v>4.5</v>
      </c>
      <c r="F23" s="378"/>
      <c r="G23" s="95">
        <f>IF(E23="",0,((E23-0.2*F22)^2)/(E23+0.8*F22))</f>
        <v>4.5</v>
      </c>
      <c r="H23" s="372"/>
      <c r="I23" s="372"/>
      <c r="J23" s="375"/>
      <c r="K23" s="95" t="e">
        <f>G23-(J22/$B$10)*12</f>
        <v>#DIV/0!</v>
      </c>
      <c r="L23" s="262" t="e">
        <f>Y23</f>
        <v>#DIV/0!</v>
      </c>
      <c r="M23" s="319" t="e">
        <f>IF(K23&lt;0,"      Attenuation sufficient",IF($B$22=0," ",IF(L23&gt;$G$5,"      Additional Attenuation Required", "      Attenuation sufficient")))</f>
        <v>#DIV/0!</v>
      </c>
      <c r="N23" s="324"/>
      <c r="O23" s="337"/>
      <c r="P23" s="276"/>
      <c r="Q23" s="276"/>
      <c r="R23" s="276"/>
      <c r="S23" s="276"/>
      <c r="T23" s="276"/>
      <c r="U23" s="299">
        <v>0.04</v>
      </c>
      <c r="V23" s="299" t="e">
        <f>(-0.4*E23-0.8*K23)</f>
        <v>#DIV/0!</v>
      </c>
      <c r="W23" s="299" t="e">
        <f>E23^2-K23*E23</f>
        <v>#DIV/0!</v>
      </c>
      <c r="X23" s="299" t="e">
        <f>(-V23-(V23^2-4*U23*W23)^0.5)/(2*U23)</f>
        <v>#DIV/0!</v>
      </c>
      <c r="Y23" s="299" t="e">
        <f>1000/(X23+10)</f>
        <v>#DIV/0!</v>
      </c>
      <c r="Z23" s="299"/>
      <c r="AA23" s="299"/>
      <c r="AB23" s="299"/>
      <c r="AC23" s="276"/>
      <c r="AD23" s="276"/>
      <c r="AE23" s="276"/>
      <c r="AF23" s="299"/>
      <c r="AG23" s="299"/>
      <c r="AH23" s="299"/>
      <c r="AI23" s="299"/>
      <c r="AJ23" s="299"/>
      <c r="AK23" s="299"/>
      <c r="AL23" s="299"/>
      <c r="AM23" s="171"/>
      <c r="AN23" s="171"/>
      <c r="AO23" s="171"/>
      <c r="AP23" s="171"/>
      <c r="AQ23" s="171"/>
      <c r="AR23" s="171"/>
    </row>
    <row r="24" spans="1:44" ht="16.5" x14ac:dyDescent="0.3">
      <c r="A24" s="257"/>
      <c r="B24" s="258"/>
      <c r="C24" s="259"/>
      <c r="D24" s="260">
        <v>10</v>
      </c>
      <c r="E24" s="261">
        <v>5.0999999999999996</v>
      </c>
      <c r="F24" s="378"/>
      <c r="G24" s="95">
        <f>IF(E24="",0,((E24-0.2*F22)^2)/(E24+0.8*F22))</f>
        <v>5.0999999999999996</v>
      </c>
      <c r="H24" s="372"/>
      <c r="I24" s="372"/>
      <c r="J24" s="375"/>
      <c r="K24" s="95" t="e">
        <f>G24-(J22/$B$10)*12</f>
        <v>#DIV/0!</v>
      </c>
      <c r="L24" s="262" t="e">
        <f>Y24</f>
        <v>#DIV/0!</v>
      </c>
      <c r="M24" s="319" t="e">
        <f>IF(K24&lt;0,"      Attenuation sufficient",IF($B$22=0," ",IF(L24&gt;$G$5,"      Additional Attenuation Required", "      Attenuation sufficient")))</f>
        <v>#DIV/0!</v>
      </c>
      <c r="N24" s="324"/>
      <c r="O24" s="320"/>
      <c r="P24" s="299"/>
      <c r="Q24" s="299"/>
      <c r="R24" s="299"/>
      <c r="S24" s="321"/>
      <c r="T24" s="299"/>
      <c r="U24" s="299">
        <v>0.04</v>
      </c>
      <c r="V24" s="299" t="e">
        <f>(-0.4*E24-0.8*K24)</f>
        <v>#DIV/0!</v>
      </c>
      <c r="W24" s="299" t="e">
        <f>E24^2-K24*E24</f>
        <v>#DIV/0!</v>
      </c>
      <c r="X24" s="299" t="e">
        <f>(-V24-(V24^2-4*U24*W24)^0.5)/(2*U24)</f>
        <v>#DIV/0!</v>
      </c>
      <c r="Y24" s="299" t="e">
        <f>1000/(X24+10)</f>
        <v>#DIV/0!</v>
      </c>
      <c r="Z24" s="299"/>
      <c r="AA24" s="299"/>
      <c r="AB24" s="299"/>
      <c r="AC24" s="276"/>
      <c r="AD24" s="276"/>
      <c r="AE24" s="276"/>
      <c r="AF24" s="299"/>
      <c r="AG24" s="299"/>
      <c r="AH24" s="299"/>
      <c r="AI24" s="299"/>
      <c r="AJ24" s="299"/>
      <c r="AK24" s="299"/>
      <c r="AL24" s="299"/>
      <c r="AM24" s="171"/>
      <c r="AN24" s="171"/>
      <c r="AO24" s="171"/>
      <c r="AP24" s="171"/>
      <c r="AQ24" s="171"/>
      <c r="AR24" s="171"/>
    </row>
    <row r="25" spans="1:44" ht="16.5" x14ac:dyDescent="0.3">
      <c r="A25" s="263"/>
      <c r="B25" s="98"/>
      <c r="C25" s="264"/>
      <c r="D25" s="265">
        <v>25</v>
      </c>
      <c r="E25" s="266">
        <v>6</v>
      </c>
      <c r="F25" s="378"/>
      <c r="G25" s="95">
        <f>IF(E25="",0,((E25-0.2*F22)^2)/(E25+0.8*F22))</f>
        <v>6</v>
      </c>
      <c r="H25" s="372"/>
      <c r="I25" s="372"/>
      <c r="J25" s="375"/>
      <c r="K25" s="95" t="e">
        <f>G25-(J22/$B$10)*12</f>
        <v>#DIV/0!</v>
      </c>
      <c r="L25" s="262" t="e">
        <f>Y25</f>
        <v>#DIV/0!</v>
      </c>
      <c r="M25" s="319" t="e">
        <f>IF(K25&lt;0,"      Attenuation sufficient",IF($B$22=0," ",IF(L25&gt;$G$5,"      Additional Attenuation Required", "      Attenuation sufficient")))</f>
        <v>#DIV/0!</v>
      </c>
      <c r="N25" s="324"/>
      <c r="O25" s="320"/>
      <c r="P25" s="299"/>
      <c r="Q25" s="299"/>
      <c r="R25" s="299"/>
      <c r="S25" s="321"/>
      <c r="T25" s="299"/>
      <c r="U25" s="299">
        <v>0.04</v>
      </c>
      <c r="V25" s="299" t="e">
        <f>(-0.4*E25-0.8*K25)</f>
        <v>#DIV/0!</v>
      </c>
      <c r="W25" s="299" t="e">
        <f>E25^2-K25*E25</f>
        <v>#DIV/0!</v>
      </c>
      <c r="X25" s="299" t="e">
        <f>(-V25-(V25^2-4*U25*W25)^0.5)/(2*U25)</f>
        <v>#DIV/0!</v>
      </c>
      <c r="Y25" s="299" t="e">
        <f>1000/(X25+10)</f>
        <v>#DIV/0!</v>
      </c>
      <c r="Z25" s="299"/>
      <c r="AA25" s="299"/>
      <c r="AB25" s="299"/>
      <c r="AC25" s="276"/>
      <c r="AD25" s="276"/>
      <c r="AE25" s="276"/>
      <c r="AF25" s="299"/>
      <c r="AG25" s="299"/>
      <c r="AH25" s="299"/>
      <c r="AI25" s="299"/>
      <c r="AJ25" s="299"/>
      <c r="AK25" s="299"/>
      <c r="AL25" s="299"/>
      <c r="AM25" s="171"/>
      <c r="AN25" s="171"/>
      <c r="AO25" s="171"/>
      <c r="AP25" s="171"/>
      <c r="AQ25" s="171"/>
      <c r="AR25" s="171"/>
    </row>
    <row r="26" spans="1:44" ht="17.25" thickBot="1" x14ac:dyDescent="0.35">
      <c r="A26" s="267"/>
      <c r="B26" s="268"/>
      <c r="C26" s="269"/>
      <c r="D26" s="270">
        <v>100</v>
      </c>
      <c r="E26" s="271">
        <v>7.4</v>
      </c>
      <c r="F26" s="379"/>
      <c r="G26" s="272">
        <f>IF(E26="",0,((E26-0.2*F22)^2)/(E26+0.8*F22))</f>
        <v>7.4</v>
      </c>
      <c r="H26" s="373"/>
      <c r="I26" s="373"/>
      <c r="J26" s="376"/>
      <c r="K26" s="272" t="e">
        <f>G26-(J22/$B$10)*12</f>
        <v>#DIV/0!</v>
      </c>
      <c r="L26" s="273" t="e">
        <f>Y26</f>
        <v>#DIV/0!</v>
      </c>
      <c r="M26" s="319"/>
      <c r="N26" s="324"/>
      <c r="O26" s="320"/>
      <c r="P26" s="299"/>
      <c r="Q26" s="299"/>
      <c r="R26" s="299"/>
      <c r="S26" s="321"/>
      <c r="T26" s="299"/>
      <c r="U26" s="299">
        <v>0.04</v>
      </c>
      <c r="V26" s="299" t="e">
        <f>(-0.4*E26-0.8*K26)</f>
        <v>#DIV/0!</v>
      </c>
      <c r="W26" s="299" t="e">
        <f>E26^2-K26*E26</f>
        <v>#DIV/0!</v>
      </c>
      <c r="X26" s="299" t="e">
        <f>(-V26-(V26^2-4*U26*W26)^0.5)/(2*U26)</f>
        <v>#DIV/0!</v>
      </c>
      <c r="Y26" s="299" t="e">
        <f>1000/(X26+10)</f>
        <v>#DIV/0!</v>
      </c>
      <c r="Z26" s="299"/>
      <c r="AA26" s="299"/>
      <c r="AB26" s="299"/>
      <c r="AC26" s="276"/>
      <c r="AD26" s="276"/>
      <c r="AE26" s="276"/>
      <c r="AF26" s="299"/>
      <c r="AG26" s="299"/>
      <c r="AH26" s="299"/>
      <c r="AI26" s="299"/>
      <c r="AJ26" s="299"/>
      <c r="AK26" s="299"/>
      <c r="AL26" s="299"/>
      <c r="AM26" s="171"/>
      <c r="AN26" s="171"/>
      <c r="AO26" s="171"/>
      <c r="AP26" s="171"/>
      <c r="AQ26" s="171"/>
      <c r="AR26" s="171"/>
    </row>
    <row r="27" spans="1:44" ht="17.25" thickBot="1" x14ac:dyDescent="0.35">
      <c r="A27" s="318"/>
      <c r="B27" s="274"/>
      <c r="C27" s="275"/>
      <c r="D27" s="331"/>
      <c r="E27" s="332"/>
      <c r="F27" s="333"/>
      <c r="G27" s="334"/>
      <c r="H27" s="332"/>
      <c r="I27" s="332"/>
      <c r="J27" s="332"/>
      <c r="K27" s="332"/>
      <c r="L27" s="335"/>
      <c r="M27" s="339"/>
      <c r="N27" s="324"/>
      <c r="O27" s="337"/>
      <c r="P27" s="276"/>
      <c r="Q27" s="276"/>
      <c r="R27" s="276"/>
      <c r="S27" s="276"/>
      <c r="T27" s="276"/>
      <c r="U27" s="299"/>
      <c r="V27" s="299"/>
      <c r="W27" s="299"/>
      <c r="X27" s="299"/>
      <c r="Y27" s="299"/>
      <c r="Z27" s="299"/>
      <c r="AA27" s="299"/>
      <c r="AB27" s="299"/>
      <c r="AC27" s="276"/>
      <c r="AD27" s="276"/>
      <c r="AE27" s="276"/>
      <c r="AF27" s="299"/>
      <c r="AG27" s="299"/>
      <c r="AH27" s="299"/>
      <c r="AI27" s="299"/>
      <c r="AJ27" s="299"/>
      <c r="AK27" s="299"/>
      <c r="AL27" s="299"/>
      <c r="AM27" s="171"/>
      <c r="AN27" s="171"/>
      <c r="AO27" s="171"/>
      <c r="AP27" s="171"/>
      <c r="AQ27" s="171"/>
      <c r="AR27" s="171"/>
    </row>
    <row r="28" spans="1:44" ht="16.5" x14ac:dyDescent="0.3">
      <c r="A28" s="316">
        <v>4</v>
      </c>
      <c r="B28" s="317">
        <f>'Summary Table'!$C$16</f>
        <v>0</v>
      </c>
      <c r="C28" s="295"/>
      <c r="D28" s="254">
        <v>2</v>
      </c>
      <c r="E28" s="255">
        <v>3.7</v>
      </c>
      <c r="F28" s="377">
        <f>IF(C28="",0,((1000/C28)-10))</f>
        <v>0</v>
      </c>
      <c r="G28" s="94">
        <f>IF(E28="",0,((E28-0.2*F28)^2)/(E28+0.8*F28))</f>
        <v>3.7</v>
      </c>
      <c r="H28" s="371">
        <f>'Summary Table'!$I$16</f>
        <v>0</v>
      </c>
      <c r="I28" s="371">
        <f>'Worksheet 3 (SCM Sizing)'!T23</f>
        <v>0</v>
      </c>
      <c r="J28" s="374">
        <f>I28+H28</f>
        <v>0</v>
      </c>
      <c r="K28" s="94" t="e">
        <f>G28-(J28/$B$10)*12</f>
        <v>#DIV/0!</v>
      </c>
      <c r="L28" s="256" t="e">
        <f>Y28</f>
        <v>#DIV/0!</v>
      </c>
      <c r="M28" s="319" t="e">
        <f>IF(K28&lt;0,"      Attenuation sufficient",IF($B$28=0," ",IF(L28&gt;$G$5,"      Additional Attenuation Required", "      Attenuation sufficient")))</f>
        <v>#DIV/0!</v>
      </c>
      <c r="N28" s="324"/>
      <c r="O28" s="320"/>
      <c r="P28" s="299"/>
      <c r="Q28" s="299"/>
      <c r="R28" s="299"/>
      <c r="S28" s="321"/>
      <c r="T28" s="299"/>
      <c r="U28" s="299">
        <v>0.04</v>
      </c>
      <c r="V28" s="299" t="e">
        <f>(-0.4*E28-0.8*K28)</f>
        <v>#DIV/0!</v>
      </c>
      <c r="W28" s="299" t="e">
        <f>E28^2-K28*E28</f>
        <v>#DIV/0!</v>
      </c>
      <c r="X28" s="299" t="e">
        <f>(-V28-(V28^2-4*U28*W28)^0.5)/(2*U28)</f>
        <v>#DIV/0!</v>
      </c>
      <c r="Y28" s="299" t="e">
        <f>1000/(X28+10)</f>
        <v>#DIV/0!</v>
      </c>
      <c r="Z28" s="299"/>
      <c r="AA28" s="299"/>
      <c r="AB28" s="299"/>
      <c r="AC28" s="276"/>
      <c r="AD28" s="276"/>
      <c r="AE28" s="276"/>
      <c r="AF28" s="299"/>
      <c r="AG28" s="299"/>
      <c r="AH28" s="299"/>
      <c r="AI28" s="299"/>
      <c r="AJ28" s="299"/>
      <c r="AK28" s="299"/>
      <c r="AL28" s="299"/>
      <c r="AM28" s="171"/>
      <c r="AN28" s="171"/>
      <c r="AO28" s="171"/>
      <c r="AP28" s="171"/>
      <c r="AQ28" s="171"/>
      <c r="AR28" s="171"/>
    </row>
    <row r="29" spans="1:44" ht="16.5" x14ac:dyDescent="0.3">
      <c r="A29" s="257"/>
      <c r="B29" s="258"/>
      <c r="C29" s="259"/>
      <c r="D29" s="260">
        <v>5</v>
      </c>
      <c r="E29" s="261">
        <v>4.5</v>
      </c>
      <c r="F29" s="378"/>
      <c r="G29" s="95">
        <f>IF(E29="",0,((E29-0.2*F28)^2)/(E29+0.8*F28))</f>
        <v>4.5</v>
      </c>
      <c r="H29" s="372"/>
      <c r="I29" s="372"/>
      <c r="J29" s="375"/>
      <c r="K29" s="95" t="e">
        <f>G29-(J28/$B$10)*12</f>
        <v>#DIV/0!</v>
      </c>
      <c r="L29" s="262" t="e">
        <f>Y29</f>
        <v>#DIV/0!</v>
      </c>
      <c r="M29" s="319" t="e">
        <f>IF(K29&lt;0,"      Attenuation sufficient",IF($B$28=0," ",IF(L29&gt;$G$5,"      Additional Attenuation Required", "      Attenuation sufficient")))</f>
        <v>#DIV/0!</v>
      </c>
      <c r="N29" s="324"/>
      <c r="O29" s="320"/>
      <c r="P29" s="299"/>
      <c r="Q29" s="299"/>
      <c r="R29" s="299"/>
      <c r="S29" s="321"/>
      <c r="T29" s="299"/>
      <c r="U29" s="299">
        <v>0.04</v>
      </c>
      <c r="V29" s="299" t="e">
        <f>(-0.4*E29-0.8*K29)</f>
        <v>#DIV/0!</v>
      </c>
      <c r="W29" s="299" t="e">
        <f>E29^2-K29*E29</f>
        <v>#DIV/0!</v>
      </c>
      <c r="X29" s="299" t="e">
        <f>(-V29-(V29^2-4*U29*W29)^0.5)/(2*U29)</f>
        <v>#DIV/0!</v>
      </c>
      <c r="Y29" s="299" t="e">
        <f>1000/(X29+10)</f>
        <v>#DIV/0!</v>
      </c>
      <c r="Z29" s="299"/>
      <c r="AA29" s="299"/>
      <c r="AB29" s="299"/>
      <c r="AC29" s="276"/>
      <c r="AD29" s="276"/>
      <c r="AE29" s="276"/>
      <c r="AF29" s="299"/>
      <c r="AG29" s="299"/>
      <c r="AH29" s="299"/>
      <c r="AI29" s="299"/>
      <c r="AJ29" s="299"/>
      <c r="AK29" s="299"/>
      <c r="AL29" s="299"/>
      <c r="AM29" s="171"/>
      <c r="AN29" s="171"/>
      <c r="AO29" s="171"/>
      <c r="AP29" s="171"/>
      <c r="AQ29" s="171"/>
      <c r="AR29" s="171"/>
    </row>
    <row r="30" spans="1:44" ht="16.5" x14ac:dyDescent="0.3">
      <c r="A30" s="257"/>
      <c r="B30" s="258"/>
      <c r="C30" s="259"/>
      <c r="D30" s="260">
        <v>10</v>
      </c>
      <c r="E30" s="261">
        <v>5.0999999999999996</v>
      </c>
      <c r="F30" s="378"/>
      <c r="G30" s="95">
        <f>IF(E30="",0,((E30-0.2*F28)^2)/(E30+0.8*F28))</f>
        <v>5.0999999999999996</v>
      </c>
      <c r="H30" s="372"/>
      <c r="I30" s="372"/>
      <c r="J30" s="375"/>
      <c r="K30" s="95" t="e">
        <f>G30-(J28/$B$10)*12</f>
        <v>#DIV/0!</v>
      </c>
      <c r="L30" s="262" t="e">
        <f>Y30</f>
        <v>#DIV/0!</v>
      </c>
      <c r="M30" s="319" t="e">
        <f>IF(K30&lt;0,"      Attenuation sufficient",IF($B$28=0," ",IF(L30&gt;$G$5,"      Additional Attenuation Required", "      Attenuation sufficient")))</f>
        <v>#DIV/0!</v>
      </c>
      <c r="N30" s="324"/>
      <c r="O30" s="320"/>
      <c r="P30" s="299"/>
      <c r="Q30" s="299"/>
      <c r="R30" s="299"/>
      <c r="S30" s="321"/>
      <c r="T30" s="299"/>
      <c r="U30" s="299">
        <v>0.04</v>
      </c>
      <c r="V30" s="299" t="e">
        <f>(-0.4*E30-0.8*K30)</f>
        <v>#DIV/0!</v>
      </c>
      <c r="W30" s="299" t="e">
        <f>E30^2-K30*E30</f>
        <v>#DIV/0!</v>
      </c>
      <c r="X30" s="299" t="e">
        <f>(-V30-(V30^2-4*U30*W30)^0.5)/(2*U30)</f>
        <v>#DIV/0!</v>
      </c>
      <c r="Y30" s="299" t="e">
        <f>1000/(X30+10)</f>
        <v>#DIV/0!</v>
      </c>
      <c r="Z30" s="299"/>
      <c r="AA30" s="299"/>
      <c r="AB30" s="299"/>
      <c r="AC30" s="276"/>
      <c r="AD30" s="276"/>
      <c r="AE30" s="276"/>
      <c r="AF30" s="299"/>
      <c r="AG30" s="299"/>
      <c r="AH30" s="299"/>
      <c r="AI30" s="299"/>
      <c r="AJ30" s="299"/>
      <c r="AK30" s="299"/>
      <c r="AL30" s="299"/>
      <c r="AM30" s="171"/>
      <c r="AN30" s="171"/>
      <c r="AO30" s="171"/>
      <c r="AP30" s="171"/>
      <c r="AQ30" s="171"/>
      <c r="AR30" s="171"/>
    </row>
    <row r="31" spans="1:44" ht="16.5" x14ac:dyDescent="0.3">
      <c r="A31" s="263"/>
      <c r="B31" s="98"/>
      <c r="C31" s="264"/>
      <c r="D31" s="265">
        <v>25</v>
      </c>
      <c r="E31" s="266">
        <v>6</v>
      </c>
      <c r="F31" s="378"/>
      <c r="G31" s="95">
        <f>IF(E31="",0,((E31-0.2*F28)^2)/(E31+0.8*F28))</f>
        <v>6</v>
      </c>
      <c r="H31" s="372"/>
      <c r="I31" s="372"/>
      <c r="J31" s="375"/>
      <c r="K31" s="95" t="e">
        <f>G31-(J28/$B$10)*12</f>
        <v>#DIV/0!</v>
      </c>
      <c r="L31" s="262" t="e">
        <f>Y31</f>
        <v>#DIV/0!</v>
      </c>
      <c r="M31" s="319" t="e">
        <f>IF(K31&lt;0,"      Attenuation sufficient",IF($B$28=0," ",IF(L31&gt;$G$5,"      Additional Attenuation Required", "      Attenuation sufficient")))</f>
        <v>#DIV/0!</v>
      </c>
      <c r="N31" s="324"/>
      <c r="O31" s="337"/>
      <c r="P31" s="276"/>
      <c r="Q31" s="276"/>
      <c r="R31" s="276"/>
      <c r="S31" s="276"/>
      <c r="T31" s="276"/>
      <c r="U31" s="299">
        <v>0.04</v>
      </c>
      <c r="V31" s="299" t="e">
        <f>(-0.4*E31-0.8*K31)</f>
        <v>#DIV/0!</v>
      </c>
      <c r="W31" s="299" t="e">
        <f>E31^2-K31*E31</f>
        <v>#DIV/0!</v>
      </c>
      <c r="X31" s="299" t="e">
        <f>(-V31-(V31^2-4*U31*W31)^0.5)/(2*U31)</f>
        <v>#DIV/0!</v>
      </c>
      <c r="Y31" s="299" t="e">
        <f>1000/(X31+10)</f>
        <v>#DIV/0!</v>
      </c>
      <c r="Z31" s="299"/>
      <c r="AA31" s="299"/>
      <c r="AB31" s="299"/>
      <c r="AC31" s="276"/>
      <c r="AD31" s="276"/>
      <c r="AE31" s="276"/>
      <c r="AF31" s="299"/>
      <c r="AG31" s="299"/>
      <c r="AH31" s="299"/>
      <c r="AI31" s="299"/>
      <c r="AJ31" s="299"/>
      <c r="AK31" s="299"/>
      <c r="AL31" s="299"/>
      <c r="AM31" s="171"/>
      <c r="AN31" s="171"/>
      <c r="AO31" s="171"/>
      <c r="AP31" s="171"/>
      <c r="AQ31" s="171"/>
      <c r="AR31" s="171"/>
    </row>
    <row r="32" spans="1:44" ht="17.25" thickBot="1" x14ac:dyDescent="0.35">
      <c r="A32" s="267"/>
      <c r="B32" s="268"/>
      <c r="C32" s="269"/>
      <c r="D32" s="270">
        <v>100</v>
      </c>
      <c r="E32" s="271">
        <v>7.4</v>
      </c>
      <c r="F32" s="379"/>
      <c r="G32" s="272">
        <f>IF(E32="",0,((E32-0.2*F28)^2)/(E32+0.8*F28))</f>
        <v>7.4</v>
      </c>
      <c r="H32" s="373"/>
      <c r="I32" s="373"/>
      <c r="J32" s="376"/>
      <c r="K32" s="272" t="e">
        <f>G32-(J28/$B$10)*12</f>
        <v>#DIV/0!</v>
      </c>
      <c r="L32" s="273" t="e">
        <f>Y32</f>
        <v>#DIV/0!</v>
      </c>
      <c r="M32" s="319"/>
      <c r="N32" s="324"/>
      <c r="O32" s="320"/>
      <c r="P32" s="299"/>
      <c r="Q32" s="299"/>
      <c r="R32" s="299"/>
      <c r="S32" s="321"/>
      <c r="T32" s="299"/>
      <c r="U32" s="299">
        <v>0.04</v>
      </c>
      <c r="V32" s="299" t="e">
        <f>(-0.4*E32-0.8*K32)</f>
        <v>#DIV/0!</v>
      </c>
      <c r="W32" s="299" t="e">
        <f>E32^2-K32*E32</f>
        <v>#DIV/0!</v>
      </c>
      <c r="X32" s="299" t="e">
        <f>(-V32-(V32^2-4*U32*W32)^0.5)/(2*U32)</f>
        <v>#DIV/0!</v>
      </c>
      <c r="Y32" s="299" t="e">
        <f>1000/(X32+10)</f>
        <v>#DIV/0!</v>
      </c>
      <c r="Z32" s="299"/>
      <c r="AA32" s="299"/>
      <c r="AB32" s="299"/>
      <c r="AC32" s="276"/>
      <c r="AD32" s="276"/>
      <c r="AE32" s="276"/>
      <c r="AF32" s="299"/>
      <c r="AG32" s="299"/>
      <c r="AH32" s="299"/>
      <c r="AI32" s="299"/>
      <c r="AJ32" s="299"/>
      <c r="AK32" s="299"/>
      <c r="AL32" s="299"/>
      <c r="AM32" s="171"/>
      <c r="AN32" s="171"/>
      <c r="AO32" s="171"/>
      <c r="AP32" s="171"/>
      <c r="AQ32" s="171"/>
      <c r="AR32" s="171"/>
    </row>
    <row r="33" spans="1:44" ht="17.25" thickBot="1" x14ac:dyDescent="0.35">
      <c r="A33" s="318"/>
      <c r="B33" s="274"/>
      <c r="C33" s="275"/>
      <c r="D33" s="331"/>
      <c r="E33" s="332"/>
      <c r="F33" s="333"/>
      <c r="G33" s="334"/>
      <c r="H33" s="332"/>
      <c r="I33" s="332"/>
      <c r="J33" s="332"/>
      <c r="K33" s="332"/>
      <c r="L33" s="335"/>
      <c r="M33" s="338"/>
      <c r="N33" s="324"/>
      <c r="O33" s="320"/>
      <c r="P33" s="299"/>
      <c r="Q33" s="299"/>
      <c r="R33" s="299"/>
      <c r="S33" s="321"/>
      <c r="T33" s="299"/>
      <c r="U33" s="299"/>
      <c r="V33" s="299"/>
      <c r="W33" s="299"/>
      <c r="X33" s="299"/>
      <c r="Y33" s="299"/>
      <c r="Z33" s="299"/>
      <c r="AA33" s="299"/>
      <c r="AB33" s="299"/>
      <c r="AC33" s="276"/>
      <c r="AD33" s="276"/>
      <c r="AE33" s="276"/>
      <c r="AF33" s="299"/>
      <c r="AG33" s="299"/>
      <c r="AH33" s="299"/>
      <c r="AI33" s="299"/>
      <c r="AJ33" s="299"/>
      <c r="AK33" s="299"/>
      <c r="AL33" s="299"/>
      <c r="AM33" s="171"/>
      <c r="AN33" s="171"/>
      <c r="AO33" s="171"/>
      <c r="AP33" s="171"/>
      <c r="AQ33" s="171"/>
      <c r="AR33" s="171"/>
    </row>
    <row r="34" spans="1:44" ht="16.5" x14ac:dyDescent="0.3">
      <c r="A34" s="316">
        <v>5</v>
      </c>
      <c r="B34" s="317">
        <f>'Summary Table'!$C$17</f>
        <v>0</v>
      </c>
      <c r="C34" s="295"/>
      <c r="D34" s="254">
        <v>2</v>
      </c>
      <c r="E34" s="255">
        <v>3.7</v>
      </c>
      <c r="F34" s="377">
        <f>IF(C34="",0,((1000/C34)-10))</f>
        <v>0</v>
      </c>
      <c r="G34" s="94">
        <f>IF(E34="",0,((E34-0.2*F34)^2)/(E34+0.8*F34))</f>
        <v>3.7</v>
      </c>
      <c r="H34" s="371">
        <f>'Summary Table'!$I$17</f>
        <v>0</v>
      </c>
      <c r="I34" s="371">
        <f>'Worksheet 3 (SCM Sizing)'!T24</f>
        <v>0</v>
      </c>
      <c r="J34" s="374">
        <f>I34+H34</f>
        <v>0</v>
      </c>
      <c r="K34" s="94" t="e">
        <f>G34-(J34/$B$10)*12</f>
        <v>#DIV/0!</v>
      </c>
      <c r="L34" s="256" t="e">
        <f>Y34</f>
        <v>#DIV/0!</v>
      </c>
      <c r="M34" s="319" t="e">
        <f>IF(K34&lt;0,"      Attenuation sufficient",IF($B$34=0," ",IF(L34&gt;$G$5,"      Additional Attenuation Required", "      Attenuation sufficient")))</f>
        <v>#DIV/0!</v>
      </c>
      <c r="N34" s="324"/>
      <c r="O34" s="320"/>
      <c r="P34" s="299"/>
      <c r="Q34" s="299"/>
      <c r="R34" s="299"/>
      <c r="S34" s="321"/>
      <c r="T34" s="299"/>
      <c r="U34" s="299">
        <v>0.04</v>
      </c>
      <c r="V34" s="299" t="e">
        <f>(-0.4*E34-0.8*K34)</f>
        <v>#DIV/0!</v>
      </c>
      <c r="W34" s="299" t="e">
        <f>E34^2-K34*E34</f>
        <v>#DIV/0!</v>
      </c>
      <c r="X34" s="299" t="e">
        <f>(-V34-(V34^2-4*U34*W34)^0.5)/(2*U34)</f>
        <v>#DIV/0!</v>
      </c>
      <c r="Y34" s="299" t="e">
        <f>1000/(X34+10)</f>
        <v>#DIV/0!</v>
      </c>
      <c r="Z34" s="299"/>
      <c r="AA34" s="299"/>
      <c r="AB34" s="299"/>
      <c r="AC34" s="276"/>
      <c r="AD34" s="276"/>
      <c r="AE34" s="276"/>
      <c r="AF34" s="299"/>
      <c r="AG34" s="299"/>
      <c r="AH34" s="299"/>
      <c r="AI34" s="299"/>
      <c r="AJ34" s="299"/>
      <c r="AK34" s="299"/>
      <c r="AL34" s="299"/>
      <c r="AM34" s="171"/>
      <c r="AN34" s="171"/>
      <c r="AO34" s="171"/>
      <c r="AP34" s="171"/>
      <c r="AQ34" s="171"/>
      <c r="AR34" s="171"/>
    </row>
    <row r="35" spans="1:44" ht="16.5" x14ac:dyDescent="0.3">
      <c r="A35" s="257"/>
      <c r="B35" s="258"/>
      <c r="C35" s="259"/>
      <c r="D35" s="260">
        <v>5</v>
      </c>
      <c r="E35" s="261">
        <v>4.5</v>
      </c>
      <c r="F35" s="378"/>
      <c r="G35" s="95">
        <f>IF(E35="",0,((E35-0.2*F34)^2)/(E35+0.8*F34))</f>
        <v>4.5</v>
      </c>
      <c r="H35" s="372"/>
      <c r="I35" s="372"/>
      <c r="J35" s="375"/>
      <c r="K35" s="95" t="e">
        <f>G35-(J34/$B$10)*12</f>
        <v>#DIV/0!</v>
      </c>
      <c r="L35" s="262" t="e">
        <f>Y35</f>
        <v>#DIV/0!</v>
      </c>
      <c r="M35" s="319" t="e">
        <f>IF(K35&lt;0,"      Attenuation sufficient",IF($B$34=0," ",IF(L35&gt;$G$5,"      Additional Attenuation Required", "      Attenuation sufficient")))</f>
        <v>#DIV/0!</v>
      </c>
      <c r="N35" s="324"/>
      <c r="O35" s="337"/>
      <c r="P35" s="276"/>
      <c r="Q35" s="276"/>
      <c r="R35" s="276"/>
      <c r="S35" s="276"/>
      <c r="T35" s="276"/>
      <c r="U35" s="299">
        <v>0.04</v>
      </c>
      <c r="V35" s="299" t="e">
        <f>(-0.4*E35-0.8*K35)</f>
        <v>#DIV/0!</v>
      </c>
      <c r="W35" s="299" t="e">
        <f>E35^2-K35*E35</f>
        <v>#DIV/0!</v>
      </c>
      <c r="X35" s="299" t="e">
        <f>(-V35-(V35^2-4*U35*W35)^0.5)/(2*U35)</f>
        <v>#DIV/0!</v>
      </c>
      <c r="Y35" s="299" t="e">
        <f>1000/(X35+10)</f>
        <v>#DIV/0!</v>
      </c>
      <c r="Z35" s="299"/>
      <c r="AA35" s="299"/>
      <c r="AB35" s="299"/>
      <c r="AC35" s="276"/>
      <c r="AD35" s="276"/>
      <c r="AE35" s="276"/>
      <c r="AF35" s="299"/>
      <c r="AG35" s="299"/>
      <c r="AH35" s="299"/>
      <c r="AI35" s="299"/>
      <c r="AJ35" s="299"/>
      <c r="AK35" s="299"/>
      <c r="AL35" s="299"/>
      <c r="AM35" s="171"/>
      <c r="AN35" s="171"/>
      <c r="AO35" s="171"/>
      <c r="AP35" s="171"/>
      <c r="AQ35" s="171"/>
      <c r="AR35" s="171"/>
    </row>
    <row r="36" spans="1:44" ht="16.5" x14ac:dyDescent="0.3">
      <c r="A36" s="257"/>
      <c r="B36" s="258"/>
      <c r="C36" s="259"/>
      <c r="D36" s="260">
        <v>10</v>
      </c>
      <c r="E36" s="261">
        <v>5.0999999999999996</v>
      </c>
      <c r="F36" s="378"/>
      <c r="G36" s="95">
        <f>IF(E36="",0,((E36-0.2*F34)^2)/(E36+0.8*F34))</f>
        <v>5.0999999999999996</v>
      </c>
      <c r="H36" s="372"/>
      <c r="I36" s="372"/>
      <c r="J36" s="375"/>
      <c r="K36" s="95" t="e">
        <f>G36-(J34/$B$10)*12</f>
        <v>#DIV/0!</v>
      </c>
      <c r="L36" s="262" t="e">
        <f>Y36</f>
        <v>#DIV/0!</v>
      </c>
      <c r="M36" s="319" t="e">
        <f>IF(K36&lt;0,"      Attenuation sufficient",IF($B$34=0," ",IF(L36&gt;$G$5,"      Additional Attenuation Required", "      Attenuation sufficient")))</f>
        <v>#DIV/0!</v>
      </c>
      <c r="N36" s="324"/>
      <c r="O36" s="320"/>
      <c r="P36" s="299"/>
      <c r="Q36" s="299"/>
      <c r="R36" s="299"/>
      <c r="S36" s="321"/>
      <c r="T36" s="299"/>
      <c r="U36" s="299">
        <v>0.04</v>
      </c>
      <c r="V36" s="299" t="e">
        <f>(-0.4*E36-0.8*K36)</f>
        <v>#DIV/0!</v>
      </c>
      <c r="W36" s="299" t="e">
        <f>E36^2-K36*E36</f>
        <v>#DIV/0!</v>
      </c>
      <c r="X36" s="299" t="e">
        <f>(-V36-(V36^2-4*U36*W36)^0.5)/(2*U36)</f>
        <v>#DIV/0!</v>
      </c>
      <c r="Y36" s="299" t="e">
        <f>1000/(X36+10)</f>
        <v>#DIV/0!</v>
      </c>
      <c r="Z36" s="299"/>
      <c r="AA36" s="299"/>
      <c r="AB36" s="299"/>
      <c r="AC36" s="276"/>
      <c r="AD36" s="276"/>
      <c r="AE36" s="276"/>
      <c r="AF36" s="299"/>
      <c r="AG36" s="299"/>
      <c r="AH36" s="299"/>
      <c r="AI36" s="299"/>
      <c r="AJ36" s="299"/>
      <c r="AK36" s="299"/>
      <c r="AL36" s="299"/>
      <c r="AM36" s="171"/>
      <c r="AN36" s="171"/>
      <c r="AO36" s="171"/>
      <c r="AP36" s="171"/>
      <c r="AQ36" s="171"/>
      <c r="AR36" s="171"/>
    </row>
    <row r="37" spans="1:44" ht="16.5" x14ac:dyDescent="0.3">
      <c r="A37" s="263"/>
      <c r="B37" s="98"/>
      <c r="C37" s="264"/>
      <c r="D37" s="265">
        <v>25</v>
      </c>
      <c r="E37" s="266">
        <v>6</v>
      </c>
      <c r="F37" s="378"/>
      <c r="G37" s="95">
        <f>IF(E37="",0,((E37-0.2*F34)^2)/(E37+0.8*F34))</f>
        <v>6</v>
      </c>
      <c r="H37" s="372"/>
      <c r="I37" s="372"/>
      <c r="J37" s="375"/>
      <c r="K37" s="95" t="e">
        <f>G37-(J34/$B$10)*12</f>
        <v>#DIV/0!</v>
      </c>
      <c r="L37" s="262" t="e">
        <f>Y37</f>
        <v>#DIV/0!</v>
      </c>
      <c r="M37" s="319" t="e">
        <f>IF(K37&lt;0,"      Attenuation sufficient",IF($B$34=0," ",IF(L37&gt;$G$5,"      Additional Attenuation Required", "      Attenuation sufficient")))</f>
        <v>#DIV/0!</v>
      </c>
      <c r="N37" s="324"/>
      <c r="O37" s="320"/>
      <c r="P37" s="299"/>
      <c r="Q37" s="299"/>
      <c r="R37" s="299"/>
      <c r="S37" s="321"/>
      <c r="T37" s="299"/>
      <c r="U37" s="299">
        <v>0.04</v>
      </c>
      <c r="V37" s="299" t="e">
        <f>(-0.4*E37-0.8*K37)</f>
        <v>#DIV/0!</v>
      </c>
      <c r="W37" s="299" t="e">
        <f>E37^2-K37*E37</f>
        <v>#DIV/0!</v>
      </c>
      <c r="X37" s="299" t="e">
        <f>(-V37-(V37^2-4*U37*W37)^0.5)/(2*U37)</f>
        <v>#DIV/0!</v>
      </c>
      <c r="Y37" s="299" t="e">
        <f>1000/(X37+10)</f>
        <v>#DIV/0!</v>
      </c>
      <c r="Z37" s="299"/>
      <c r="AA37" s="299"/>
      <c r="AB37" s="299"/>
      <c r="AC37" s="276"/>
      <c r="AD37" s="276"/>
      <c r="AE37" s="276"/>
      <c r="AF37" s="299"/>
      <c r="AG37" s="299"/>
      <c r="AH37" s="299"/>
      <c r="AI37" s="299"/>
      <c r="AJ37" s="299"/>
      <c r="AK37" s="299"/>
      <c r="AL37" s="299"/>
      <c r="AM37" s="171"/>
      <c r="AN37" s="171"/>
      <c r="AO37" s="171"/>
      <c r="AP37" s="171"/>
      <c r="AQ37" s="171"/>
      <c r="AR37" s="171"/>
    </row>
    <row r="38" spans="1:44" ht="17.25" thickBot="1" x14ac:dyDescent="0.35">
      <c r="A38" s="267"/>
      <c r="B38" s="268"/>
      <c r="C38" s="269"/>
      <c r="D38" s="270">
        <v>100</v>
      </c>
      <c r="E38" s="271">
        <v>7.4</v>
      </c>
      <c r="F38" s="379"/>
      <c r="G38" s="272">
        <f>IF(E38="",0,((E38-0.2*F34)^2)/(E38+0.8*F34))</f>
        <v>7.4</v>
      </c>
      <c r="H38" s="373"/>
      <c r="I38" s="373"/>
      <c r="J38" s="376"/>
      <c r="K38" s="272" t="e">
        <f>G38-(J34/$B$10)*12</f>
        <v>#DIV/0!</v>
      </c>
      <c r="L38" s="273" t="e">
        <f>Y38</f>
        <v>#DIV/0!</v>
      </c>
      <c r="M38" s="319"/>
      <c r="N38" s="324"/>
      <c r="O38" s="320"/>
      <c r="P38" s="299"/>
      <c r="Q38" s="299"/>
      <c r="R38" s="299"/>
      <c r="S38" s="321"/>
      <c r="T38" s="299"/>
      <c r="U38" s="299">
        <v>0.04</v>
      </c>
      <c r="V38" s="299" t="e">
        <f>(-0.4*E38-0.8*K38)</f>
        <v>#DIV/0!</v>
      </c>
      <c r="W38" s="299" t="e">
        <f>E38^2-K38*E38</f>
        <v>#DIV/0!</v>
      </c>
      <c r="X38" s="299" t="e">
        <f>(-V38-(V38^2-4*U38*W38)^0.5)/(2*U38)</f>
        <v>#DIV/0!</v>
      </c>
      <c r="Y38" s="299" t="e">
        <f>1000/(X38+10)</f>
        <v>#DIV/0!</v>
      </c>
      <c r="Z38" s="299"/>
      <c r="AA38" s="299"/>
      <c r="AB38" s="299"/>
      <c r="AC38" s="276"/>
      <c r="AD38" s="276"/>
      <c r="AE38" s="276"/>
      <c r="AF38" s="299"/>
      <c r="AG38" s="299"/>
      <c r="AH38" s="299"/>
      <c r="AI38" s="299"/>
      <c r="AJ38" s="299"/>
      <c r="AK38" s="299"/>
      <c r="AL38" s="299"/>
      <c r="AM38" s="171"/>
      <c r="AN38" s="171"/>
      <c r="AO38" s="171"/>
      <c r="AP38" s="171"/>
      <c r="AQ38" s="171"/>
      <c r="AR38" s="171"/>
    </row>
    <row r="39" spans="1:44" ht="17.25" thickBot="1" x14ac:dyDescent="0.35">
      <c r="A39" s="318"/>
      <c r="B39" s="274"/>
      <c r="C39" s="275"/>
      <c r="D39" s="331"/>
      <c r="E39" s="332"/>
      <c r="F39" s="333"/>
      <c r="G39" s="334"/>
      <c r="H39" s="332"/>
      <c r="I39" s="332"/>
      <c r="J39" s="332"/>
      <c r="K39" s="332"/>
      <c r="L39" s="335"/>
      <c r="M39" s="339"/>
      <c r="N39" s="324"/>
      <c r="O39" s="337"/>
      <c r="P39" s="276"/>
      <c r="Q39" s="276"/>
      <c r="R39" s="276"/>
      <c r="S39" s="276"/>
      <c r="T39" s="276"/>
      <c r="U39" s="299"/>
      <c r="V39" s="299"/>
      <c r="W39" s="299"/>
      <c r="X39" s="299"/>
      <c r="Y39" s="299"/>
      <c r="Z39" s="299"/>
      <c r="AA39" s="299"/>
      <c r="AB39" s="299"/>
      <c r="AC39" s="276"/>
      <c r="AD39" s="276"/>
      <c r="AE39" s="276"/>
      <c r="AF39" s="299"/>
      <c r="AG39" s="299"/>
      <c r="AH39" s="299"/>
      <c r="AI39" s="299"/>
      <c r="AJ39" s="299"/>
      <c r="AK39" s="299"/>
      <c r="AL39" s="299"/>
      <c r="AM39" s="171"/>
      <c r="AN39" s="171"/>
      <c r="AO39" s="171"/>
      <c r="AP39" s="171"/>
      <c r="AQ39" s="171"/>
      <c r="AR39" s="171"/>
    </row>
    <row r="40" spans="1:44" ht="16.5" x14ac:dyDescent="0.3">
      <c r="A40" s="316">
        <v>6</v>
      </c>
      <c r="B40" s="317">
        <f>'Summary Table'!$C$18</f>
        <v>0</v>
      </c>
      <c r="C40" s="295"/>
      <c r="D40" s="254">
        <v>2</v>
      </c>
      <c r="E40" s="255">
        <v>3.7</v>
      </c>
      <c r="F40" s="377">
        <f>IF(C40="",0,((1000/C40)-10))</f>
        <v>0</v>
      </c>
      <c r="G40" s="94">
        <f>IF(E40="",0,((E40-0.2*F40)^2)/(E40+0.8*F40))</f>
        <v>3.7</v>
      </c>
      <c r="H40" s="371">
        <f>'Summary Table'!$I$18</f>
        <v>0</v>
      </c>
      <c r="I40" s="371">
        <f>'Worksheet 3 (SCM Sizing)'!T25</f>
        <v>0</v>
      </c>
      <c r="J40" s="374">
        <f>I40+H40</f>
        <v>0</v>
      </c>
      <c r="K40" s="94" t="e">
        <f>G40-(J40/$B$10)*12</f>
        <v>#DIV/0!</v>
      </c>
      <c r="L40" s="256" t="e">
        <f>Y40</f>
        <v>#DIV/0!</v>
      </c>
      <c r="M40" s="319" t="e">
        <f>IF(K40&lt;0,"      Attenuation sufficient",IF($B$40=0," ",IF(L40&gt;$G$5,"      Additional Attenuation Required", "      Attenuation sufficient")))</f>
        <v>#DIV/0!</v>
      </c>
      <c r="N40" s="324"/>
      <c r="O40" s="320"/>
      <c r="P40" s="299"/>
      <c r="Q40" s="299"/>
      <c r="R40" s="299"/>
      <c r="S40" s="321"/>
      <c r="T40" s="299"/>
      <c r="U40" s="299">
        <v>0.04</v>
      </c>
      <c r="V40" s="299" t="e">
        <f>(-0.4*E40-0.8*K40)</f>
        <v>#DIV/0!</v>
      </c>
      <c r="W40" s="299" t="e">
        <f>E40^2-K40*E40</f>
        <v>#DIV/0!</v>
      </c>
      <c r="X40" s="299" t="e">
        <f>(-V40-(V40^2-4*U40*W40)^0.5)/(2*U40)</f>
        <v>#DIV/0!</v>
      </c>
      <c r="Y40" s="299" t="e">
        <f>1000/(X40+10)</f>
        <v>#DIV/0!</v>
      </c>
      <c r="Z40" s="299"/>
      <c r="AA40" s="299"/>
      <c r="AB40" s="299"/>
      <c r="AC40" s="276"/>
      <c r="AD40" s="276"/>
      <c r="AE40" s="276"/>
      <c r="AF40" s="299"/>
      <c r="AG40" s="299"/>
      <c r="AH40" s="299"/>
      <c r="AI40" s="299"/>
      <c r="AJ40" s="299"/>
      <c r="AK40" s="299"/>
      <c r="AL40" s="299"/>
      <c r="AM40" s="171"/>
      <c r="AN40" s="171"/>
      <c r="AO40" s="171"/>
      <c r="AP40" s="171"/>
      <c r="AQ40" s="171"/>
      <c r="AR40" s="171"/>
    </row>
    <row r="41" spans="1:44" ht="16.5" x14ac:dyDescent="0.3">
      <c r="A41" s="257"/>
      <c r="B41" s="258"/>
      <c r="C41" s="259"/>
      <c r="D41" s="260">
        <v>5</v>
      </c>
      <c r="E41" s="261">
        <v>4.5</v>
      </c>
      <c r="F41" s="378"/>
      <c r="G41" s="95">
        <f>IF(E41="",0,((E41-0.2*F40)^2)/(E41+0.8*F40))</f>
        <v>4.5</v>
      </c>
      <c r="H41" s="372"/>
      <c r="I41" s="372"/>
      <c r="J41" s="375"/>
      <c r="K41" s="95" t="e">
        <f>G41-(J40/$B$10)*12</f>
        <v>#DIV/0!</v>
      </c>
      <c r="L41" s="262" t="e">
        <f>Y41</f>
        <v>#DIV/0!</v>
      </c>
      <c r="M41" s="319" t="e">
        <f>IF(K41&lt;0,"      Attenuation sufficient",IF($B$40=0," ",IF(L41&gt;$G$5,"      Additional Attenuation Required", "      Attenuation sufficient")))</f>
        <v>#DIV/0!</v>
      </c>
      <c r="N41" s="324"/>
      <c r="O41" s="320"/>
      <c r="P41" s="299"/>
      <c r="Q41" s="299"/>
      <c r="R41" s="299"/>
      <c r="S41" s="321"/>
      <c r="T41" s="299"/>
      <c r="U41" s="299">
        <v>0.04</v>
      </c>
      <c r="V41" s="299" t="e">
        <f>(-0.4*E41-0.8*K41)</f>
        <v>#DIV/0!</v>
      </c>
      <c r="W41" s="299" t="e">
        <f>E41^2-K41*E41</f>
        <v>#DIV/0!</v>
      </c>
      <c r="X41" s="299" t="e">
        <f>(-V41-(V41^2-4*U41*W41)^0.5)/(2*U41)</f>
        <v>#DIV/0!</v>
      </c>
      <c r="Y41" s="299" t="e">
        <f>1000/(X41+10)</f>
        <v>#DIV/0!</v>
      </c>
      <c r="Z41" s="299"/>
      <c r="AA41" s="299"/>
      <c r="AB41" s="299"/>
      <c r="AC41" s="276"/>
      <c r="AD41" s="276"/>
      <c r="AE41" s="276"/>
      <c r="AF41" s="299"/>
      <c r="AG41" s="299"/>
      <c r="AH41" s="299"/>
      <c r="AI41" s="299"/>
      <c r="AJ41" s="299"/>
      <c r="AK41" s="299"/>
      <c r="AL41" s="299"/>
      <c r="AM41" s="171"/>
      <c r="AN41" s="171"/>
      <c r="AO41" s="171"/>
      <c r="AP41" s="171"/>
      <c r="AQ41" s="171"/>
      <c r="AR41" s="171"/>
    </row>
    <row r="42" spans="1:44" ht="16.5" x14ac:dyDescent="0.3">
      <c r="A42" s="257"/>
      <c r="B42" s="258"/>
      <c r="C42" s="259"/>
      <c r="D42" s="260">
        <v>10</v>
      </c>
      <c r="E42" s="261">
        <v>5.0999999999999996</v>
      </c>
      <c r="F42" s="378"/>
      <c r="G42" s="95">
        <f>IF(E42="",0,((E42-0.2*F40)^2)/(E42+0.8*F40))</f>
        <v>5.0999999999999996</v>
      </c>
      <c r="H42" s="372"/>
      <c r="I42" s="372"/>
      <c r="J42" s="375"/>
      <c r="K42" s="95" t="e">
        <f>G42-(J40/$B$10)*12</f>
        <v>#DIV/0!</v>
      </c>
      <c r="L42" s="262" t="e">
        <f>Y42</f>
        <v>#DIV/0!</v>
      </c>
      <c r="M42" s="319" t="e">
        <f>IF(K42&lt;0,"      Attenuation sufficient",IF($B$40=0," ",IF(L42&gt;$G$5,"      Additional Attenuation Required", "      Attenuation sufficient")))</f>
        <v>#DIV/0!</v>
      </c>
      <c r="N42" s="324"/>
      <c r="O42" s="320"/>
      <c r="P42" s="299"/>
      <c r="Q42" s="299"/>
      <c r="R42" s="299"/>
      <c r="S42" s="321"/>
      <c r="T42" s="299"/>
      <c r="U42" s="299">
        <v>0.04</v>
      </c>
      <c r="V42" s="299" t="e">
        <f>(-0.4*E42-0.8*K42)</f>
        <v>#DIV/0!</v>
      </c>
      <c r="W42" s="299" t="e">
        <f>E42^2-K42*E42</f>
        <v>#DIV/0!</v>
      </c>
      <c r="X42" s="299" t="e">
        <f>(-V42-(V42^2-4*U42*W42)^0.5)/(2*U42)</f>
        <v>#DIV/0!</v>
      </c>
      <c r="Y42" s="299" t="e">
        <f>1000/(X42+10)</f>
        <v>#DIV/0!</v>
      </c>
      <c r="Z42" s="299"/>
      <c r="AA42" s="299"/>
      <c r="AB42" s="299"/>
      <c r="AC42" s="276"/>
      <c r="AD42" s="276"/>
      <c r="AE42" s="276"/>
      <c r="AF42" s="299"/>
      <c r="AG42" s="299"/>
      <c r="AH42" s="299"/>
      <c r="AI42" s="299"/>
      <c r="AJ42" s="299"/>
      <c r="AK42" s="299"/>
      <c r="AL42" s="299"/>
      <c r="AM42" s="171"/>
      <c r="AN42" s="171"/>
      <c r="AO42" s="171"/>
      <c r="AP42" s="171"/>
      <c r="AQ42" s="171"/>
      <c r="AR42" s="171"/>
    </row>
    <row r="43" spans="1:44" ht="16.5" x14ac:dyDescent="0.3">
      <c r="A43" s="263"/>
      <c r="B43" s="98"/>
      <c r="C43" s="264"/>
      <c r="D43" s="265">
        <v>25</v>
      </c>
      <c r="E43" s="266">
        <v>6</v>
      </c>
      <c r="F43" s="378"/>
      <c r="G43" s="95">
        <f>IF(E43="",0,((E43-0.2*F40)^2)/(E43+0.8*F40))</f>
        <v>6</v>
      </c>
      <c r="H43" s="372"/>
      <c r="I43" s="372"/>
      <c r="J43" s="375"/>
      <c r="K43" s="95" t="e">
        <f>G43-(J40/$B$10)*12</f>
        <v>#DIV/0!</v>
      </c>
      <c r="L43" s="262" t="e">
        <f>Y43</f>
        <v>#DIV/0!</v>
      </c>
      <c r="M43" s="319" t="e">
        <f>IF(K43&lt;0,"      Attenuation sufficient",IF($B$40=0," ",IF(L43&gt;$G$5,"      Additional Attenuation Required", "      Attenuation sufficient")))</f>
        <v>#DIV/0!</v>
      </c>
      <c r="N43" s="324"/>
      <c r="O43" s="337"/>
      <c r="P43" s="276"/>
      <c r="Q43" s="276"/>
      <c r="R43" s="276"/>
      <c r="S43" s="276"/>
      <c r="T43" s="276"/>
      <c r="U43" s="299">
        <v>0.04</v>
      </c>
      <c r="V43" s="299" t="e">
        <f>(-0.4*E43-0.8*K43)</f>
        <v>#DIV/0!</v>
      </c>
      <c r="W43" s="299" t="e">
        <f>E43^2-K43*E43</f>
        <v>#DIV/0!</v>
      </c>
      <c r="X43" s="299" t="e">
        <f>(-V43-(V43^2-4*U43*W43)^0.5)/(2*U43)</f>
        <v>#DIV/0!</v>
      </c>
      <c r="Y43" s="299" t="e">
        <f>1000/(X43+10)</f>
        <v>#DIV/0!</v>
      </c>
      <c r="Z43" s="299"/>
      <c r="AA43" s="299"/>
      <c r="AB43" s="299"/>
      <c r="AC43" s="276"/>
      <c r="AD43" s="276"/>
      <c r="AE43" s="276"/>
      <c r="AF43" s="299"/>
      <c r="AG43" s="299"/>
      <c r="AH43" s="299"/>
      <c r="AI43" s="299"/>
      <c r="AJ43" s="299"/>
      <c r="AK43" s="299"/>
      <c r="AL43" s="299"/>
      <c r="AM43" s="171"/>
      <c r="AN43" s="171"/>
      <c r="AO43" s="171"/>
      <c r="AP43" s="171"/>
      <c r="AQ43" s="171"/>
      <c r="AR43" s="171"/>
    </row>
    <row r="44" spans="1:44" ht="17.25" thickBot="1" x14ac:dyDescent="0.35">
      <c r="A44" s="267"/>
      <c r="B44" s="268"/>
      <c r="C44" s="269"/>
      <c r="D44" s="270">
        <v>100</v>
      </c>
      <c r="E44" s="271">
        <v>7.4</v>
      </c>
      <c r="F44" s="379"/>
      <c r="G44" s="272">
        <f>IF(E44="",0,((E44-0.2*F40)^2)/(E44+0.8*F40))</f>
        <v>7.4</v>
      </c>
      <c r="H44" s="373"/>
      <c r="I44" s="373"/>
      <c r="J44" s="376"/>
      <c r="K44" s="272" t="e">
        <f>G44-(J40/$B$10)*12</f>
        <v>#DIV/0!</v>
      </c>
      <c r="L44" s="273" t="e">
        <f>Y44</f>
        <v>#DIV/0!</v>
      </c>
      <c r="M44" s="319"/>
      <c r="N44" s="324"/>
      <c r="O44" s="320"/>
      <c r="P44" s="299"/>
      <c r="Q44" s="299"/>
      <c r="R44" s="299"/>
      <c r="S44" s="321"/>
      <c r="T44" s="299"/>
      <c r="U44" s="299">
        <v>0.04</v>
      </c>
      <c r="V44" s="299" t="e">
        <f>(-0.4*E44-0.8*K44)</f>
        <v>#DIV/0!</v>
      </c>
      <c r="W44" s="299" t="e">
        <f>E44^2-K44*E44</f>
        <v>#DIV/0!</v>
      </c>
      <c r="X44" s="299" t="e">
        <f>(-V44-(V44^2-4*U44*W44)^0.5)/(2*U44)</f>
        <v>#DIV/0!</v>
      </c>
      <c r="Y44" s="299" t="e">
        <f>1000/(X44+10)</f>
        <v>#DIV/0!</v>
      </c>
      <c r="Z44" s="299"/>
      <c r="AA44" s="299"/>
      <c r="AB44" s="299"/>
      <c r="AC44" s="276"/>
      <c r="AD44" s="276"/>
      <c r="AE44" s="276"/>
      <c r="AF44" s="299"/>
      <c r="AG44" s="299"/>
      <c r="AH44" s="299"/>
      <c r="AI44" s="299"/>
      <c r="AJ44" s="299"/>
      <c r="AK44" s="299"/>
      <c r="AL44" s="299"/>
      <c r="AM44" s="171"/>
      <c r="AN44" s="171"/>
      <c r="AO44" s="171"/>
      <c r="AP44" s="171"/>
      <c r="AQ44" s="171"/>
      <c r="AR44" s="171"/>
    </row>
    <row r="45" spans="1:44" ht="17.25" thickBot="1" x14ac:dyDescent="0.35">
      <c r="A45" s="318"/>
      <c r="B45" s="274"/>
      <c r="C45" s="275"/>
      <c r="D45" s="331"/>
      <c r="E45" s="332"/>
      <c r="F45" s="333"/>
      <c r="G45" s="334"/>
      <c r="H45" s="332"/>
      <c r="I45" s="332"/>
      <c r="J45" s="332"/>
      <c r="K45" s="332"/>
      <c r="L45" s="335"/>
      <c r="M45" s="338"/>
      <c r="N45" s="324"/>
      <c r="O45" s="320"/>
      <c r="P45" s="299"/>
      <c r="Q45" s="299"/>
      <c r="R45" s="299"/>
      <c r="S45" s="321"/>
      <c r="T45" s="299"/>
      <c r="U45" s="299"/>
      <c r="V45" s="299"/>
      <c r="W45" s="299"/>
      <c r="X45" s="299"/>
      <c r="Y45" s="299"/>
      <c r="Z45" s="299"/>
      <c r="AA45" s="299"/>
      <c r="AB45" s="299"/>
      <c r="AC45" s="276"/>
      <c r="AD45" s="276"/>
      <c r="AE45" s="276"/>
      <c r="AF45" s="299"/>
      <c r="AG45" s="299"/>
      <c r="AH45" s="299"/>
      <c r="AI45" s="299"/>
      <c r="AJ45" s="299"/>
      <c r="AK45" s="299"/>
      <c r="AL45" s="299"/>
      <c r="AM45" s="171"/>
      <c r="AN45" s="171"/>
      <c r="AO45" s="171"/>
      <c r="AP45" s="171"/>
      <c r="AQ45" s="171"/>
      <c r="AR45" s="171"/>
    </row>
    <row r="46" spans="1:44" ht="16.5" x14ac:dyDescent="0.3">
      <c r="A46" s="316">
        <v>7</v>
      </c>
      <c r="B46" s="317">
        <f>'Summary Table'!$C$19</f>
        <v>0</v>
      </c>
      <c r="C46" s="295" t="str">
        <f>IF(B46=0,"",('Summary Table'!Q19*98)+('Summary Table'!T19*$G$5))</f>
        <v/>
      </c>
      <c r="D46" s="254">
        <v>2</v>
      </c>
      <c r="E46" s="255">
        <v>3.7</v>
      </c>
      <c r="F46" s="377">
        <f>IF(C46="",0,((1000/C46)-10))</f>
        <v>0</v>
      </c>
      <c r="G46" s="94">
        <f>IF(E46="",0,((E46-0.2*F46)^2)/(E46+0.8*F46))</f>
        <v>3.7</v>
      </c>
      <c r="H46" s="371">
        <f>'Summary Table'!$I$19</f>
        <v>0</v>
      </c>
      <c r="I46" s="371">
        <f>'Worksheet 3 (SCM Sizing)'!T26</f>
        <v>0</v>
      </c>
      <c r="J46" s="374">
        <f>I46+H46</f>
        <v>0</v>
      </c>
      <c r="K46" s="94" t="e">
        <f>G46-(J46/$B$10)*12</f>
        <v>#DIV/0!</v>
      </c>
      <c r="L46" s="256" t="e">
        <f>Y46</f>
        <v>#DIV/0!</v>
      </c>
      <c r="M46" s="319" t="e">
        <f>IF(K46&lt;0,"      Attenuation sufficient",IF($B$46=0," ",IF(L46&gt;$G$5,"      Additional Attenuation Required", "      Attenuation sufficient")))</f>
        <v>#DIV/0!</v>
      </c>
      <c r="N46" s="324"/>
      <c r="O46" s="337"/>
      <c r="P46" s="276"/>
      <c r="Q46" s="276"/>
      <c r="R46" s="276"/>
      <c r="S46" s="276"/>
      <c r="T46" s="276"/>
      <c r="U46" s="299">
        <v>0.04</v>
      </c>
      <c r="V46" s="299" t="e">
        <f>(-0.4*E46-0.8*K46)</f>
        <v>#DIV/0!</v>
      </c>
      <c r="W46" s="299" t="e">
        <f>E46^2-K46*E46</f>
        <v>#DIV/0!</v>
      </c>
      <c r="X46" s="299" t="e">
        <f>(-V46-(V46^2-4*U46*W46)^0.5)/(2*U46)</f>
        <v>#DIV/0!</v>
      </c>
      <c r="Y46" s="299" t="e">
        <f>1000/(X46+10)</f>
        <v>#DIV/0!</v>
      </c>
      <c r="Z46" s="299"/>
      <c r="AA46" s="299"/>
      <c r="AB46" s="299"/>
      <c r="AC46" s="276"/>
      <c r="AD46" s="276"/>
      <c r="AE46" s="276"/>
      <c r="AF46" s="299"/>
      <c r="AG46" s="299"/>
      <c r="AH46" s="299"/>
      <c r="AI46" s="299"/>
      <c r="AJ46" s="299"/>
      <c r="AK46" s="299"/>
      <c r="AL46" s="299"/>
      <c r="AM46" s="171"/>
      <c r="AN46" s="171"/>
      <c r="AO46" s="171"/>
      <c r="AP46" s="171"/>
      <c r="AQ46" s="171"/>
      <c r="AR46" s="171"/>
    </row>
    <row r="47" spans="1:44" ht="16.5" x14ac:dyDescent="0.3">
      <c r="A47" s="257"/>
      <c r="B47" s="258"/>
      <c r="C47" s="259"/>
      <c r="D47" s="260">
        <v>5</v>
      </c>
      <c r="E47" s="261">
        <v>4.5</v>
      </c>
      <c r="F47" s="378"/>
      <c r="G47" s="95">
        <f>IF(E47="",0,((E47-0.2*F46)^2)/(E47+0.8*F46))</f>
        <v>4.5</v>
      </c>
      <c r="H47" s="372"/>
      <c r="I47" s="372"/>
      <c r="J47" s="375"/>
      <c r="K47" s="95" t="e">
        <f>G47-(J46/$B$10)*12</f>
        <v>#DIV/0!</v>
      </c>
      <c r="L47" s="262" t="e">
        <f>Y47</f>
        <v>#DIV/0!</v>
      </c>
      <c r="M47" s="319" t="e">
        <f>IF(K47&lt;0,"      Attenuation sufficient",IF($B$46=0," ",IF(L47&gt;$G$5,"      Additional Attenuation Required", "      Attenuation sufficient")))</f>
        <v>#DIV/0!</v>
      </c>
      <c r="N47" s="324"/>
      <c r="O47" s="337"/>
      <c r="P47" s="276"/>
      <c r="Q47" s="276"/>
      <c r="R47" s="276"/>
      <c r="S47" s="276"/>
      <c r="T47" s="276"/>
      <c r="U47" s="299">
        <v>0.04</v>
      </c>
      <c r="V47" s="299" t="e">
        <f>(-0.4*E47-0.8*K47)</f>
        <v>#DIV/0!</v>
      </c>
      <c r="W47" s="299" t="e">
        <f>E47^2-K47*E47</f>
        <v>#DIV/0!</v>
      </c>
      <c r="X47" s="299" t="e">
        <f>(-V47-(V47^2-4*U47*W47)^0.5)/(2*U47)</f>
        <v>#DIV/0!</v>
      </c>
      <c r="Y47" s="299" t="e">
        <f>1000/(X47+10)</f>
        <v>#DIV/0!</v>
      </c>
      <c r="Z47" s="299"/>
      <c r="AA47" s="299"/>
      <c r="AB47" s="299"/>
      <c r="AC47" s="276"/>
      <c r="AD47" s="276"/>
      <c r="AE47" s="276"/>
      <c r="AF47" s="299"/>
      <c r="AG47" s="299"/>
      <c r="AH47" s="299"/>
      <c r="AI47" s="299"/>
      <c r="AJ47" s="299"/>
      <c r="AK47" s="299"/>
      <c r="AL47" s="299"/>
      <c r="AM47" s="171"/>
      <c r="AN47" s="171"/>
      <c r="AO47" s="171"/>
      <c r="AP47" s="171"/>
      <c r="AQ47" s="171"/>
      <c r="AR47" s="171"/>
    </row>
    <row r="48" spans="1:44" ht="16.5" x14ac:dyDescent="0.3">
      <c r="A48" s="257"/>
      <c r="B48" s="258"/>
      <c r="C48" s="259"/>
      <c r="D48" s="260">
        <v>10</v>
      </c>
      <c r="E48" s="261">
        <v>5.0999999999999996</v>
      </c>
      <c r="F48" s="378"/>
      <c r="G48" s="95">
        <f>IF(E48="",0,((E48-0.2*F46)^2)/(E48+0.8*F46))</f>
        <v>5.0999999999999996</v>
      </c>
      <c r="H48" s="372"/>
      <c r="I48" s="372"/>
      <c r="J48" s="375"/>
      <c r="K48" s="95" t="e">
        <f>G48-(J46/$B$10)*12</f>
        <v>#DIV/0!</v>
      </c>
      <c r="L48" s="262" t="e">
        <f>Y48</f>
        <v>#DIV/0!</v>
      </c>
      <c r="M48" s="319" t="e">
        <f>IF(K48&lt;0,"      Attenuation sufficient",IF($B$46=0," ",IF(L48&gt;$G$5,"      Additional Attenuation Required", "      Attenuation sufficient")))</f>
        <v>#DIV/0!</v>
      </c>
      <c r="N48" s="324"/>
      <c r="O48" s="337"/>
      <c r="P48" s="276"/>
      <c r="Q48" s="276"/>
      <c r="R48" s="276"/>
      <c r="S48" s="276"/>
      <c r="T48" s="276"/>
      <c r="U48" s="299">
        <v>0.04</v>
      </c>
      <c r="V48" s="299" t="e">
        <f>(-0.4*E48-0.8*K48)</f>
        <v>#DIV/0!</v>
      </c>
      <c r="W48" s="299" t="e">
        <f>E48^2-K48*E48</f>
        <v>#DIV/0!</v>
      </c>
      <c r="X48" s="299" t="e">
        <f>(-V48-(V48^2-4*U48*W48)^0.5)/(2*U48)</f>
        <v>#DIV/0!</v>
      </c>
      <c r="Y48" s="299" t="e">
        <f>1000/(X48+10)</f>
        <v>#DIV/0!</v>
      </c>
      <c r="Z48" s="299"/>
      <c r="AA48" s="299"/>
      <c r="AB48" s="299"/>
      <c r="AC48" s="276"/>
      <c r="AD48" s="276"/>
      <c r="AE48" s="276"/>
      <c r="AF48" s="299"/>
      <c r="AG48" s="299"/>
      <c r="AH48" s="299"/>
      <c r="AI48" s="299"/>
      <c r="AJ48" s="299"/>
      <c r="AK48" s="299"/>
      <c r="AL48" s="299"/>
      <c r="AM48" s="171"/>
      <c r="AN48" s="171"/>
      <c r="AO48" s="171"/>
      <c r="AP48" s="171"/>
      <c r="AQ48" s="171"/>
      <c r="AR48" s="171"/>
    </row>
    <row r="49" spans="1:44" ht="16.5" x14ac:dyDescent="0.3">
      <c r="A49" s="263"/>
      <c r="B49" s="98"/>
      <c r="C49" s="264"/>
      <c r="D49" s="265">
        <v>25</v>
      </c>
      <c r="E49" s="266">
        <v>6</v>
      </c>
      <c r="F49" s="378"/>
      <c r="G49" s="95">
        <f>IF(E49="",0,((E49-0.2*F46)^2)/(E49+0.8*F46))</f>
        <v>6</v>
      </c>
      <c r="H49" s="372"/>
      <c r="I49" s="372"/>
      <c r="J49" s="375"/>
      <c r="K49" s="95" t="e">
        <f>G49-(J46/$B$10)*12</f>
        <v>#DIV/0!</v>
      </c>
      <c r="L49" s="262" t="e">
        <f>Y49</f>
        <v>#DIV/0!</v>
      </c>
      <c r="M49" s="319" t="e">
        <f>IF(K49&lt;0,"      Attenuation sufficient",IF($B$46=0," ",IF(L49&gt;$G$5,"      Additional Attenuation Required", "      Attenuation sufficient")))</f>
        <v>#DIV/0!</v>
      </c>
      <c r="N49" s="324"/>
      <c r="O49" s="337"/>
      <c r="P49" s="276"/>
      <c r="Q49" s="276"/>
      <c r="R49" s="276"/>
      <c r="S49" s="276"/>
      <c r="T49" s="276"/>
      <c r="U49" s="299">
        <v>0.04</v>
      </c>
      <c r="V49" s="299" t="e">
        <f>(-0.4*E49-0.8*K49)</f>
        <v>#DIV/0!</v>
      </c>
      <c r="W49" s="299" t="e">
        <f>E49^2-K49*E49</f>
        <v>#DIV/0!</v>
      </c>
      <c r="X49" s="299" t="e">
        <f>(-V49-(V49^2-4*U49*W49)^0.5)/(2*U49)</f>
        <v>#DIV/0!</v>
      </c>
      <c r="Y49" s="299" t="e">
        <f>1000/(X49+10)</f>
        <v>#DIV/0!</v>
      </c>
      <c r="Z49" s="299"/>
      <c r="AA49" s="299"/>
      <c r="AB49" s="299"/>
      <c r="AC49" s="276"/>
      <c r="AD49" s="276"/>
      <c r="AE49" s="276"/>
      <c r="AF49" s="299"/>
      <c r="AG49" s="299"/>
      <c r="AH49" s="299"/>
      <c r="AI49" s="299"/>
      <c r="AJ49" s="299"/>
      <c r="AK49" s="299"/>
      <c r="AL49" s="299"/>
      <c r="AM49" s="171"/>
      <c r="AN49" s="171"/>
      <c r="AO49" s="171"/>
      <c r="AP49" s="171"/>
      <c r="AQ49" s="171"/>
      <c r="AR49" s="171"/>
    </row>
    <row r="50" spans="1:44" ht="17.25" thickBot="1" x14ac:dyDescent="0.35">
      <c r="A50" s="267"/>
      <c r="B50" s="268"/>
      <c r="C50" s="269"/>
      <c r="D50" s="270">
        <v>100</v>
      </c>
      <c r="E50" s="271">
        <v>7.4</v>
      </c>
      <c r="F50" s="379"/>
      <c r="G50" s="272">
        <f>IF(E50="",0,((E50-0.2*F46)^2)/(E50+0.8*F46))</f>
        <v>7.4</v>
      </c>
      <c r="H50" s="373"/>
      <c r="I50" s="373"/>
      <c r="J50" s="376"/>
      <c r="K50" s="272" t="e">
        <f>G50-(J46/$B$10)*12</f>
        <v>#DIV/0!</v>
      </c>
      <c r="L50" s="273" t="e">
        <f>Y50</f>
        <v>#DIV/0!</v>
      </c>
      <c r="M50" s="319"/>
      <c r="N50" s="324"/>
      <c r="O50" s="337"/>
      <c r="P50" s="276"/>
      <c r="Q50" s="276"/>
      <c r="R50" s="276"/>
      <c r="S50" s="276"/>
      <c r="T50" s="276"/>
      <c r="U50" s="299">
        <v>0.04</v>
      </c>
      <c r="V50" s="299" t="e">
        <f>(-0.4*E50-0.8*K50)</f>
        <v>#DIV/0!</v>
      </c>
      <c r="W50" s="299" t="e">
        <f>E50^2-K50*E50</f>
        <v>#DIV/0!</v>
      </c>
      <c r="X50" s="299" t="e">
        <f>(-V50-(V50^2-4*U50*W50)^0.5)/(2*U50)</f>
        <v>#DIV/0!</v>
      </c>
      <c r="Y50" s="299" t="e">
        <f>1000/(X50+10)</f>
        <v>#DIV/0!</v>
      </c>
      <c r="Z50" s="299"/>
      <c r="AA50" s="299"/>
      <c r="AB50" s="299"/>
      <c r="AC50" s="276"/>
      <c r="AD50" s="276"/>
      <c r="AE50" s="276"/>
      <c r="AF50" s="299"/>
      <c r="AG50" s="299"/>
      <c r="AH50" s="299"/>
      <c r="AI50" s="299"/>
      <c r="AJ50" s="299"/>
      <c r="AK50" s="299"/>
      <c r="AL50" s="299"/>
      <c r="AM50" s="171"/>
      <c r="AN50" s="171"/>
      <c r="AO50" s="171"/>
      <c r="AP50" s="171"/>
      <c r="AQ50" s="171"/>
      <c r="AR50" s="171"/>
    </row>
    <row r="51" spans="1:44" ht="17.25" thickBot="1" x14ac:dyDescent="0.35">
      <c r="A51" s="318"/>
      <c r="B51" s="274"/>
      <c r="C51" s="275"/>
      <c r="D51" s="331"/>
      <c r="E51" s="332"/>
      <c r="F51" s="333"/>
      <c r="G51" s="334"/>
      <c r="H51" s="332"/>
      <c r="I51" s="332"/>
      <c r="J51" s="332"/>
      <c r="K51" s="332"/>
      <c r="L51" s="335"/>
      <c r="M51" s="339"/>
      <c r="N51" s="324"/>
      <c r="O51" s="337"/>
      <c r="P51" s="276"/>
      <c r="Q51" s="276"/>
      <c r="R51" s="276"/>
      <c r="S51" s="276"/>
      <c r="T51" s="276"/>
      <c r="U51" s="299"/>
      <c r="V51" s="299"/>
      <c r="W51" s="299"/>
      <c r="X51" s="299"/>
      <c r="Y51" s="299"/>
      <c r="Z51" s="299"/>
      <c r="AA51" s="299"/>
      <c r="AB51" s="299"/>
      <c r="AC51" s="276"/>
      <c r="AD51" s="276"/>
      <c r="AE51" s="276"/>
      <c r="AF51" s="299"/>
      <c r="AG51" s="299"/>
      <c r="AH51" s="299"/>
      <c r="AI51" s="299"/>
      <c r="AJ51" s="299"/>
      <c r="AK51" s="299"/>
      <c r="AL51" s="299"/>
      <c r="AM51" s="171"/>
      <c r="AN51" s="171"/>
      <c r="AO51" s="171"/>
      <c r="AP51" s="171"/>
      <c r="AQ51" s="171"/>
      <c r="AR51" s="171"/>
    </row>
    <row r="52" spans="1:44" ht="16.5" x14ac:dyDescent="0.3">
      <c r="A52" s="316">
        <v>8</v>
      </c>
      <c r="B52" s="317">
        <f>'Summary Table'!$C$20</f>
        <v>0</v>
      </c>
      <c r="C52" s="295" t="str">
        <f>IF(B52=0,"",('Summary Table'!Q20*98)+('Summary Table'!T20*$G$5))</f>
        <v/>
      </c>
      <c r="D52" s="254">
        <v>2</v>
      </c>
      <c r="E52" s="255">
        <v>3.7</v>
      </c>
      <c r="F52" s="377">
        <f>IF(C52="",0,((1000/C52)-10))</f>
        <v>0</v>
      </c>
      <c r="G52" s="94">
        <f>IF(E52="",0,((E52-0.2*F52)^2)/(E52+0.8*F52))</f>
        <v>3.7</v>
      </c>
      <c r="H52" s="371">
        <f>'Summary Table'!$I$20</f>
        <v>0</v>
      </c>
      <c r="I52" s="371">
        <f>'Worksheet 3 (SCM Sizing)'!T27</f>
        <v>0</v>
      </c>
      <c r="J52" s="374">
        <f>I52+H52</f>
        <v>0</v>
      </c>
      <c r="K52" s="94" t="e">
        <f>G52-(J52/$B$10)*12</f>
        <v>#DIV/0!</v>
      </c>
      <c r="L52" s="256" t="e">
        <f>Y52</f>
        <v>#DIV/0!</v>
      </c>
      <c r="M52" s="319" t="e">
        <f>IF(K52&lt;0,"      Attenuation sufficient",IF($B$52=0," ",IF(L52&gt;$G$5,"      Additional Attenuation Required", "      Attenuation sufficient")))</f>
        <v>#DIV/0!</v>
      </c>
      <c r="N52" s="324"/>
      <c r="O52" s="337"/>
      <c r="P52" s="276"/>
      <c r="Q52" s="276"/>
      <c r="R52" s="276"/>
      <c r="S52" s="276"/>
      <c r="T52" s="276"/>
      <c r="U52" s="299">
        <v>0.04</v>
      </c>
      <c r="V52" s="299" t="e">
        <f>(-0.4*E52-0.8*K52)</f>
        <v>#DIV/0!</v>
      </c>
      <c r="W52" s="299" t="e">
        <f>E52^2-K52*E52</f>
        <v>#DIV/0!</v>
      </c>
      <c r="X52" s="299" t="e">
        <f>(-V52-(V52^2-4*U52*W52)^0.5)/(2*U52)</f>
        <v>#DIV/0!</v>
      </c>
      <c r="Y52" s="299" t="e">
        <f>1000/(X52+10)</f>
        <v>#DIV/0!</v>
      </c>
      <c r="Z52" s="299"/>
      <c r="AA52" s="299"/>
      <c r="AB52" s="299"/>
      <c r="AC52" s="276"/>
      <c r="AD52" s="276"/>
      <c r="AE52" s="276"/>
      <c r="AF52" s="299"/>
      <c r="AG52" s="299"/>
      <c r="AH52" s="299"/>
      <c r="AI52" s="299"/>
      <c r="AJ52" s="299"/>
      <c r="AK52" s="299"/>
      <c r="AL52" s="299"/>
      <c r="AM52" s="171"/>
      <c r="AN52" s="171"/>
      <c r="AO52" s="171"/>
      <c r="AP52" s="171"/>
      <c r="AQ52" s="171"/>
      <c r="AR52" s="171"/>
    </row>
    <row r="53" spans="1:44" ht="16.5" x14ac:dyDescent="0.3">
      <c r="A53" s="257"/>
      <c r="B53" s="258"/>
      <c r="C53" s="259"/>
      <c r="D53" s="260">
        <v>5</v>
      </c>
      <c r="E53" s="261">
        <v>4.5</v>
      </c>
      <c r="F53" s="378"/>
      <c r="G53" s="95">
        <f>IF(E53="",0,((E53-0.2*F52)^2)/(E53+0.8*F52))</f>
        <v>4.5</v>
      </c>
      <c r="H53" s="372"/>
      <c r="I53" s="372"/>
      <c r="J53" s="375"/>
      <c r="K53" s="95" t="e">
        <f>G53-(J52/$B$10)*12</f>
        <v>#DIV/0!</v>
      </c>
      <c r="L53" s="262" t="e">
        <f>Y53</f>
        <v>#DIV/0!</v>
      </c>
      <c r="M53" s="319" t="e">
        <f>IF(K53&lt;0,"      Attenuation sufficient",IF($B$52=0," ",IF(L53&gt;$G$5,"      Additional Attenuation Required", "      Attenuation sufficient")))</f>
        <v>#DIV/0!</v>
      </c>
      <c r="N53" s="324"/>
      <c r="O53" s="337"/>
      <c r="P53" s="276"/>
      <c r="Q53" s="276"/>
      <c r="R53" s="276"/>
      <c r="S53" s="276"/>
      <c r="T53" s="276"/>
      <c r="U53" s="299">
        <v>0.04</v>
      </c>
      <c r="V53" s="299" t="e">
        <f>(-0.4*E53-0.8*K53)</f>
        <v>#DIV/0!</v>
      </c>
      <c r="W53" s="299" t="e">
        <f>E53^2-K53*E53</f>
        <v>#DIV/0!</v>
      </c>
      <c r="X53" s="299" t="e">
        <f>(-V53-(V53^2-4*U53*W53)^0.5)/(2*U53)</f>
        <v>#DIV/0!</v>
      </c>
      <c r="Y53" s="299" t="e">
        <f>1000/(X53+10)</f>
        <v>#DIV/0!</v>
      </c>
      <c r="Z53" s="299"/>
      <c r="AA53" s="299"/>
      <c r="AB53" s="299"/>
      <c r="AC53" s="276"/>
      <c r="AD53" s="276"/>
      <c r="AE53" s="276"/>
      <c r="AF53" s="299"/>
      <c r="AG53" s="299"/>
      <c r="AH53" s="299"/>
      <c r="AI53" s="299"/>
      <c r="AJ53" s="299"/>
      <c r="AK53" s="299"/>
      <c r="AL53" s="299"/>
      <c r="AM53" s="171"/>
      <c r="AN53" s="171"/>
      <c r="AO53" s="171"/>
      <c r="AP53" s="171"/>
      <c r="AQ53" s="171"/>
      <c r="AR53" s="171"/>
    </row>
    <row r="54" spans="1:44" ht="16.5" x14ac:dyDescent="0.3">
      <c r="A54" s="257"/>
      <c r="B54" s="258"/>
      <c r="C54" s="259"/>
      <c r="D54" s="260">
        <v>10</v>
      </c>
      <c r="E54" s="261">
        <v>5.0999999999999996</v>
      </c>
      <c r="F54" s="378"/>
      <c r="G54" s="95">
        <f>IF(E54="",0,((E54-0.2*F52)^2)/(E54+0.8*F52))</f>
        <v>5.0999999999999996</v>
      </c>
      <c r="H54" s="372"/>
      <c r="I54" s="372"/>
      <c r="J54" s="375"/>
      <c r="K54" s="95" t="e">
        <f>G54-(J52/$B$10)*12</f>
        <v>#DIV/0!</v>
      </c>
      <c r="L54" s="262" t="e">
        <f>Y54</f>
        <v>#DIV/0!</v>
      </c>
      <c r="M54" s="319" t="e">
        <f>IF(K54&lt;0,"      Attenuation sufficient",IF($B$52=0," ",IF(L54&gt;$G$5,"      Additional Attenuation Required", "      Attenuation sufficient")))</f>
        <v>#DIV/0!</v>
      </c>
      <c r="N54" s="324"/>
      <c r="O54" s="337"/>
      <c r="P54" s="276"/>
      <c r="Q54" s="276"/>
      <c r="R54" s="276"/>
      <c r="S54" s="276"/>
      <c r="T54" s="276"/>
      <c r="U54" s="299">
        <v>0.04</v>
      </c>
      <c r="V54" s="299" t="e">
        <f>(-0.4*E54-0.8*K54)</f>
        <v>#DIV/0!</v>
      </c>
      <c r="W54" s="299" t="e">
        <f>E54^2-K54*E54</f>
        <v>#DIV/0!</v>
      </c>
      <c r="X54" s="299" t="e">
        <f>(-V54-(V54^2-4*U54*W54)^0.5)/(2*U54)</f>
        <v>#DIV/0!</v>
      </c>
      <c r="Y54" s="299" t="e">
        <f>1000/(X54+10)</f>
        <v>#DIV/0!</v>
      </c>
      <c r="Z54" s="299"/>
      <c r="AA54" s="299"/>
      <c r="AB54" s="299"/>
      <c r="AC54" s="276"/>
      <c r="AD54" s="276"/>
      <c r="AE54" s="276"/>
      <c r="AF54" s="299"/>
      <c r="AG54" s="299"/>
      <c r="AH54" s="299"/>
      <c r="AI54" s="299"/>
      <c r="AJ54" s="299"/>
      <c r="AK54" s="299"/>
      <c r="AL54" s="299"/>
      <c r="AM54" s="171"/>
      <c r="AN54" s="171"/>
      <c r="AO54" s="171"/>
      <c r="AP54" s="171"/>
      <c r="AQ54" s="171"/>
      <c r="AR54" s="171"/>
    </row>
    <row r="55" spans="1:44" ht="16.5" x14ac:dyDescent="0.3">
      <c r="A55" s="263"/>
      <c r="B55" s="98"/>
      <c r="C55" s="264"/>
      <c r="D55" s="265">
        <v>25</v>
      </c>
      <c r="E55" s="266">
        <v>6</v>
      </c>
      <c r="F55" s="378"/>
      <c r="G55" s="95">
        <f>IF(E55="",0,((E55-0.2*F52)^2)/(E55+0.8*F52))</f>
        <v>6</v>
      </c>
      <c r="H55" s="372"/>
      <c r="I55" s="372"/>
      <c r="J55" s="375"/>
      <c r="K55" s="95" t="e">
        <f>G55-(J52/$B$10)*12</f>
        <v>#DIV/0!</v>
      </c>
      <c r="L55" s="262" t="e">
        <f>Y55</f>
        <v>#DIV/0!</v>
      </c>
      <c r="M55" s="319" t="e">
        <f>IF(K55&lt;0,"      Attenuation sufficient",IF($B$52=0," ",IF(L55&gt;$G$5,"      Additional Attenuation Required", "      Attenuation sufficient")))</f>
        <v>#DIV/0!</v>
      </c>
      <c r="N55" s="324"/>
      <c r="O55" s="337"/>
      <c r="P55" s="276"/>
      <c r="Q55" s="276"/>
      <c r="R55" s="276"/>
      <c r="S55" s="276"/>
      <c r="T55" s="276"/>
      <c r="U55" s="299">
        <v>0.04</v>
      </c>
      <c r="V55" s="299" t="e">
        <f>(-0.4*E55-0.8*K55)</f>
        <v>#DIV/0!</v>
      </c>
      <c r="W55" s="299" t="e">
        <f>E55^2-K55*E55</f>
        <v>#DIV/0!</v>
      </c>
      <c r="X55" s="299" t="e">
        <f>(-V55-(V55^2-4*U55*W55)^0.5)/(2*U55)</f>
        <v>#DIV/0!</v>
      </c>
      <c r="Y55" s="299" t="e">
        <f>1000/(X55+10)</f>
        <v>#DIV/0!</v>
      </c>
      <c r="Z55" s="299"/>
      <c r="AA55" s="299"/>
      <c r="AB55" s="299"/>
      <c r="AC55" s="276"/>
      <c r="AD55" s="276"/>
      <c r="AE55" s="276"/>
      <c r="AF55" s="299"/>
      <c r="AG55" s="299"/>
      <c r="AH55" s="299"/>
      <c r="AI55" s="299"/>
      <c r="AJ55" s="299"/>
      <c r="AK55" s="299"/>
      <c r="AL55" s="299"/>
      <c r="AM55" s="171"/>
      <c r="AN55" s="171"/>
      <c r="AO55" s="171"/>
      <c r="AP55" s="171"/>
      <c r="AQ55" s="171"/>
      <c r="AR55" s="171"/>
    </row>
    <row r="56" spans="1:44" ht="17.25" thickBot="1" x14ac:dyDescent="0.35">
      <c r="A56" s="267"/>
      <c r="B56" s="268"/>
      <c r="C56" s="269"/>
      <c r="D56" s="270">
        <v>100</v>
      </c>
      <c r="E56" s="271">
        <v>7.4</v>
      </c>
      <c r="F56" s="379"/>
      <c r="G56" s="272">
        <f>IF(E56="",0,((E56-0.2*F52)^2)/(E56+0.8*F52))</f>
        <v>7.4</v>
      </c>
      <c r="H56" s="373"/>
      <c r="I56" s="373"/>
      <c r="J56" s="376"/>
      <c r="K56" s="272" t="e">
        <f>G56-(J52/$B$10)*12</f>
        <v>#DIV/0!</v>
      </c>
      <c r="L56" s="273" t="e">
        <f>Y56</f>
        <v>#DIV/0!</v>
      </c>
      <c r="M56" s="319"/>
      <c r="N56" s="324"/>
      <c r="O56" s="337"/>
      <c r="P56" s="276"/>
      <c r="Q56" s="276"/>
      <c r="R56" s="276"/>
      <c r="S56" s="276"/>
      <c r="T56" s="276"/>
      <c r="U56" s="299">
        <v>0.04</v>
      </c>
      <c r="V56" s="299" t="e">
        <f>(-0.4*E56-0.8*K56)</f>
        <v>#DIV/0!</v>
      </c>
      <c r="W56" s="299" t="e">
        <f>E56^2-K56*E56</f>
        <v>#DIV/0!</v>
      </c>
      <c r="X56" s="299" t="e">
        <f>(-V56-(V56^2-4*U56*W56)^0.5)/(2*U56)</f>
        <v>#DIV/0!</v>
      </c>
      <c r="Y56" s="299" t="e">
        <f>1000/(X56+10)</f>
        <v>#DIV/0!</v>
      </c>
      <c r="Z56" s="299"/>
      <c r="AA56" s="299"/>
      <c r="AB56" s="299"/>
      <c r="AC56" s="276"/>
      <c r="AD56" s="276"/>
      <c r="AE56" s="276"/>
      <c r="AF56" s="299"/>
      <c r="AG56" s="299"/>
      <c r="AH56" s="299"/>
      <c r="AI56" s="299"/>
      <c r="AJ56" s="299"/>
      <c r="AK56" s="299"/>
      <c r="AL56" s="299"/>
      <c r="AM56" s="171"/>
      <c r="AN56" s="171"/>
      <c r="AO56" s="171"/>
      <c r="AP56" s="171"/>
      <c r="AQ56" s="171"/>
      <c r="AR56" s="171"/>
    </row>
    <row r="57" spans="1:44" ht="16.5" x14ac:dyDescent="0.3">
      <c r="A57" s="318"/>
      <c r="B57" s="274"/>
      <c r="C57" s="275"/>
      <c r="D57" s="331"/>
      <c r="E57" s="332"/>
      <c r="F57" s="333"/>
      <c r="G57" s="334"/>
      <c r="H57" s="332"/>
      <c r="I57" s="332"/>
      <c r="J57" s="332"/>
      <c r="K57" s="332"/>
      <c r="L57" s="340"/>
      <c r="M57" s="341"/>
      <c r="N57" s="324"/>
      <c r="O57" s="337"/>
      <c r="P57" s="276"/>
      <c r="Q57" s="276"/>
      <c r="R57" s="276"/>
      <c r="S57" s="276"/>
      <c r="T57" s="276"/>
      <c r="U57" s="299"/>
      <c r="V57" s="299"/>
      <c r="W57" s="299"/>
      <c r="X57" s="299"/>
      <c r="Y57" s="299"/>
      <c r="Z57" s="299"/>
      <c r="AA57" s="299"/>
      <c r="AB57" s="299"/>
      <c r="AC57" s="276"/>
      <c r="AD57" s="276"/>
      <c r="AE57" s="276"/>
      <c r="AF57" s="299"/>
      <c r="AG57" s="299"/>
      <c r="AH57" s="299"/>
      <c r="AI57" s="299"/>
      <c r="AJ57" s="299"/>
      <c r="AK57" s="299"/>
      <c r="AL57" s="299"/>
      <c r="AM57" s="171"/>
      <c r="AN57" s="171"/>
      <c r="AO57" s="171"/>
      <c r="AP57" s="171"/>
      <c r="AQ57" s="171"/>
      <c r="AR57" s="171"/>
    </row>
    <row r="58" spans="1:44" ht="16.5" x14ac:dyDescent="0.3">
      <c r="A58" s="276"/>
      <c r="B58" s="276"/>
      <c r="C58" s="277"/>
      <c r="D58" s="238"/>
      <c r="E58" s="276"/>
      <c r="F58" s="342"/>
      <c r="G58" s="239"/>
      <c r="H58" s="276"/>
      <c r="I58" s="276"/>
      <c r="J58" s="276"/>
      <c r="K58" s="276"/>
      <c r="L58" s="277"/>
      <c r="M58" s="341"/>
      <c r="N58" s="324"/>
      <c r="O58" s="337"/>
      <c r="P58" s="276"/>
      <c r="Q58" s="276"/>
      <c r="R58" s="276"/>
      <c r="S58" s="276"/>
      <c r="T58" s="276"/>
      <c r="U58" s="299"/>
      <c r="V58" s="299"/>
      <c r="W58" s="299"/>
      <c r="X58" s="299"/>
      <c r="Y58" s="299"/>
      <c r="Z58" s="299"/>
      <c r="AA58" s="299"/>
      <c r="AB58" s="299"/>
      <c r="AC58" s="276"/>
      <c r="AD58" s="276"/>
      <c r="AE58" s="276"/>
      <c r="AF58" s="299"/>
      <c r="AG58" s="299"/>
      <c r="AH58" s="299"/>
      <c r="AI58" s="299"/>
      <c r="AJ58" s="299"/>
      <c r="AK58" s="299"/>
      <c r="AL58" s="299"/>
      <c r="AM58" s="171"/>
      <c r="AN58" s="171"/>
      <c r="AO58" s="171"/>
      <c r="AP58" s="171"/>
      <c r="AQ58" s="171"/>
      <c r="AR58" s="171"/>
    </row>
    <row r="59" spans="1:44" ht="16.5" x14ac:dyDescent="0.3">
      <c r="A59" s="276"/>
      <c r="B59" s="276"/>
      <c r="C59" s="277"/>
      <c r="D59" s="238"/>
      <c r="E59" s="276"/>
      <c r="F59" s="342"/>
      <c r="G59" s="239"/>
      <c r="H59" s="276"/>
      <c r="I59" s="276"/>
      <c r="J59" s="276"/>
      <c r="K59" s="276"/>
      <c r="L59" s="277"/>
      <c r="M59" s="341"/>
      <c r="N59" s="324"/>
      <c r="O59" s="337"/>
      <c r="P59" s="276"/>
      <c r="Q59" s="276"/>
      <c r="R59" s="276"/>
      <c r="S59" s="276"/>
      <c r="T59" s="276"/>
      <c r="U59" s="299"/>
      <c r="V59" s="299"/>
      <c r="W59" s="299"/>
      <c r="X59" s="299"/>
      <c r="Y59" s="299"/>
      <c r="Z59" s="299"/>
      <c r="AA59" s="299"/>
      <c r="AB59" s="299"/>
      <c r="AC59" s="276"/>
      <c r="AD59" s="276"/>
      <c r="AE59" s="276"/>
      <c r="AF59" s="299"/>
      <c r="AG59" s="299"/>
      <c r="AH59" s="299"/>
      <c r="AI59" s="299"/>
      <c r="AJ59" s="299"/>
      <c r="AK59" s="299"/>
      <c r="AL59" s="299"/>
      <c r="AM59" s="171"/>
      <c r="AN59" s="171"/>
      <c r="AO59" s="171"/>
      <c r="AP59" s="171"/>
      <c r="AQ59" s="171"/>
      <c r="AR59" s="171"/>
    </row>
    <row r="60" spans="1:44" ht="16.5" x14ac:dyDescent="0.3">
      <c r="A60" s="276"/>
      <c r="B60" s="276"/>
      <c r="C60" s="277"/>
      <c r="D60" s="238"/>
      <c r="E60" s="276"/>
      <c r="F60" s="342"/>
      <c r="G60" s="239"/>
      <c r="H60" s="276"/>
      <c r="I60" s="276"/>
      <c r="J60" s="276"/>
      <c r="K60" s="276"/>
      <c r="L60" s="277"/>
      <c r="M60" s="341"/>
      <c r="N60" s="324"/>
      <c r="O60" s="337"/>
      <c r="P60" s="276"/>
      <c r="Q60" s="276"/>
      <c r="R60" s="276"/>
      <c r="S60" s="276"/>
      <c r="T60" s="276"/>
      <c r="U60" s="299"/>
      <c r="V60" s="299"/>
      <c r="W60" s="299"/>
      <c r="X60" s="299"/>
      <c r="Y60" s="299"/>
      <c r="Z60" s="299"/>
      <c r="AA60" s="299"/>
      <c r="AB60" s="299"/>
      <c r="AC60" s="276"/>
      <c r="AD60" s="276"/>
      <c r="AE60" s="276"/>
      <c r="AF60" s="299"/>
      <c r="AG60" s="299"/>
      <c r="AH60" s="299"/>
      <c r="AI60" s="299"/>
      <c r="AJ60" s="299"/>
      <c r="AK60" s="299"/>
      <c r="AL60" s="299"/>
      <c r="AM60" s="171"/>
      <c r="AN60" s="171"/>
      <c r="AO60" s="171"/>
      <c r="AP60" s="171"/>
      <c r="AQ60" s="171"/>
      <c r="AR60" s="171"/>
    </row>
  </sheetData>
  <sheetProtection algorithmName="SHA-512" hashValue="LF2AUc62P9/ZvCYgYnbKPO9TzLhGr8wjerPAajb9SPm8Sgo+MNs6J46W+Wn6vMtmW5iZc/jytIugaOhKBIVyxA==" saltValue="H64/r82/3cpN1KFVk4e3aQ==" spinCount="100000" sheet="1" objects="1" scenarios="1" selectLockedCells="1"/>
  <mergeCells count="37">
    <mergeCell ref="J22:J26"/>
    <mergeCell ref="B1:C1"/>
    <mergeCell ref="B2:C2"/>
    <mergeCell ref="B3:C3"/>
    <mergeCell ref="F10:F14"/>
    <mergeCell ref="H10:H14"/>
    <mergeCell ref="I10:I14"/>
    <mergeCell ref="J10:J14"/>
    <mergeCell ref="F16:F20"/>
    <mergeCell ref="H16:H20"/>
    <mergeCell ref="I16:I20"/>
    <mergeCell ref="J16:J20"/>
    <mergeCell ref="D2:I2"/>
    <mergeCell ref="D3:I3"/>
    <mergeCell ref="F22:F26"/>
    <mergeCell ref="H22:H26"/>
    <mergeCell ref="I34:I38"/>
    <mergeCell ref="J34:J38"/>
    <mergeCell ref="F28:F32"/>
    <mergeCell ref="H28:H32"/>
    <mergeCell ref="I28:I32"/>
    <mergeCell ref="I22:I26"/>
    <mergeCell ref="J52:J56"/>
    <mergeCell ref="F40:F44"/>
    <mergeCell ref="H40:H44"/>
    <mergeCell ref="I40:I44"/>
    <mergeCell ref="J40:J44"/>
    <mergeCell ref="F46:F50"/>
    <mergeCell ref="H46:H50"/>
    <mergeCell ref="I46:I50"/>
    <mergeCell ref="J46:J50"/>
    <mergeCell ref="F52:F56"/>
    <mergeCell ref="H52:H56"/>
    <mergeCell ref="I52:I56"/>
    <mergeCell ref="J28:J32"/>
    <mergeCell ref="F34:F38"/>
    <mergeCell ref="H34:H38"/>
  </mergeCells>
  <conditionalFormatting sqref="J10:J12">
    <cfRule type="cellIs" dxfId="85" priority="210" operator="equal">
      <formula>"NO"</formula>
    </cfRule>
  </conditionalFormatting>
  <conditionalFormatting sqref="J28:J30">
    <cfRule type="cellIs" dxfId="84" priority="204" operator="equal">
      <formula>"NO"</formula>
    </cfRule>
  </conditionalFormatting>
  <conditionalFormatting sqref="J34:J36">
    <cfRule type="cellIs" dxfId="83" priority="202" operator="equal">
      <formula>"NO"</formula>
    </cfRule>
  </conditionalFormatting>
  <conditionalFormatting sqref="J16:J18">
    <cfRule type="cellIs" dxfId="82" priority="208" operator="equal">
      <formula>"NO"</formula>
    </cfRule>
  </conditionalFormatting>
  <conditionalFormatting sqref="J22:J24">
    <cfRule type="cellIs" dxfId="81" priority="206" operator="equal">
      <formula>"NO"</formula>
    </cfRule>
  </conditionalFormatting>
  <conditionalFormatting sqref="J40:J42">
    <cfRule type="cellIs" dxfId="80" priority="200" operator="equal">
      <formula>"NO"</formula>
    </cfRule>
  </conditionalFormatting>
  <conditionalFormatting sqref="J46:J48">
    <cfRule type="cellIs" dxfId="79" priority="198" operator="equal">
      <formula>"NO"</formula>
    </cfRule>
  </conditionalFormatting>
  <conditionalFormatting sqref="J52:J54">
    <cfRule type="cellIs" dxfId="78" priority="196" operator="equal">
      <formula>"NO"</formula>
    </cfRule>
  </conditionalFormatting>
  <conditionalFormatting sqref="M10">
    <cfRule type="containsText" dxfId="77" priority="63" operator="containsText" text="Attenuation sufficient">
      <formula>NOT(ISERROR(SEARCH("Attenuation sufficient",M10)))</formula>
    </cfRule>
    <cfRule type="containsText" dxfId="76" priority="64" operator="containsText" text="Additional Attenuation Required">
      <formula>NOT(ISERROR(SEARCH("Additional Attenuation Required",M10)))</formula>
    </cfRule>
  </conditionalFormatting>
  <conditionalFormatting sqref="M11">
    <cfRule type="containsText" dxfId="75" priority="61" operator="containsText" text="Attenuation sufficient">
      <formula>NOT(ISERROR(SEARCH("Attenuation sufficient",M11)))</formula>
    </cfRule>
    <cfRule type="containsText" dxfId="74" priority="62" operator="containsText" text="Additional Attenuation Required">
      <formula>NOT(ISERROR(SEARCH("Additional Attenuation Required",M11)))</formula>
    </cfRule>
  </conditionalFormatting>
  <conditionalFormatting sqref="M12">
    <cfRule type="containsText" dxfId="73" priority="59" operator="containsText" text="Attenuation sufficient">
      <formula>NOT(ISERROR(SEARCH("Attenuation sufficient",M12)))</formula>
    </cfRule>
    <cfRule type="containsText" dxfId="72" priority="60" operator="containsText" text="Additional Attenuation Required">
      <formula>NOT(ISERROR(SEARCH("Additional Attenuation Required",M12)))</formula>
    </cfRule>
  </conditionalFormatting>
  <conditionalFormatting sqref="M13">
    <cfRule type="containsText" dxfId="71" priority="57" operator="containsText" text="Attenuation sufficient">
      <formula>NOT(ISERROR(SEARCH("Attenuation sufficient",M13)))</formula>
    </cfRule>
    <cfRule type="containsText" dxfId="70" priority="58" operator="containsText" text="Additional Attenuation Required">
      <formula>NOT(ISERROR(SEARCH("Additional Attenuation Required",M13)))</formula>
    </cfRule>
  </conditionalFormatting>
  <conditionalFormatting sqref="M16">
    <cfRule type="containsText" dxfId="69" priority="55" operator="containsText" text="Attenuation sufficient">
      <formula>NOT(ISERROR(SEARCH("Attenuation sufficient",M16)))</formula>
    </cfRule>
    <cfRule type="containsText" dxfId="68" priority="56" operator="containsText" text="Additional Attenuation Required">
      <formula>NOT(ISERROR(SEARCH("Additional Attenuation Required",M16)))</formula>
    </cfRule>
  </conditionalFormatting>
  <conditionalFormatting sqref="M17">
    <cfRule type="containsText" dxfId="67" priority="53" operator="containsText" text="Attenuation sufficient">
      <formula>NOT(ISERROR(SEARCH("Attenuation sufficient",M17)))</formula>
    </cfRule>
    <cfRule type="containsText" dxfId="66" priority="54" operator="containsText" text="Additional Attenuation Required">
      <formula>NOT(ISERROR(SEARCH("Additional Attenuation Required",M17)))</formula>
    </cfRule>
  </conditionalFormatting>
  <conditionalFormatting sqref="M18">
    <cfRule type="containsText" dxfId="65" priority="51" operator="containsText" text="Attenuation sufficient">
      <formula>NOT(ISERROR(SEARCH("Attenuation sufficient",M18)))</formula>
    </cfRule>
    <cfRule type="containsText" dxfId="64" priority="52" operator="containsText" text="Additional Attenuation Required">
      <formula>NOT(ISERROR(SEARCH("Additional Attenuation Required",M18)))</formula>
    </cfRule>
  </conditionalFormatting>
  <conditionalFormatting sqref="M19">
    <cfRule type="containsText" dxfId="63" priority="49" operator="containsText" text="Attenuation sufficient">
      <formula>NOT(ISERROR(SEARCH("Attenuation sufficient",M19)))</formula>
    </cfRule>
    <cfRule type="containsText" dxfId="62" priority="50" operator="containsText" text="Additional Attenuation Required">
      <formula>NOT(ISERROR(SEARCH("Additional Attenuation Required",M19)))</formula>
    </cfRule>
  </conditionalFormatting>
  <conditionalFormatting sqref="M22">
    <cfRule type="containsText" dxfId="61" priority="47" operator="containsText" text="Attenuation sufficient">
      <formula>NOT(ISERROR(SEARCH("Attenuation sufficient",M22)))</formula>
    </cfRule>
    <cfRule type="containsText" dxfId="60" priority="48" operator="containsText" text="Additional Attenuation Required">
      <formula>NOT(ISERROR(SEARCH("Additional Attenuation Required",M22)))</formula>
    </cfRule>
  </conditionalFormatting>
  <conditionalFormatting sqref="M23">
    <cfRule type="containsText" dxfId="59" priority="45" operator="containsText" text="Attenuation sufficient">
      <formula>NOT(ISERROR(SEARCH("Attenuation sufficient",M23)))</formula>
    </cfRule>
    <cfRule type="containsText" dxfId="58" priority="46" operator="containsText" text="Additional Attenuation Required">
      <formula>NOT(ISERROR(SEARCH("Additional Attenuation Required",M23)))</formula>
    </cfRule>
  </conditionalFormatting>
  <conditionalFormatting sqref="M24">
    <cfRule type="containsText" dxfId="57" priority="43" operator="containsText" text="Attenuation sufficient">
      <formula>NOT(ISERROR(SEARCH("Attenuation sufficient",M24)))</formula>
    </cfRule>
    <cfRule type="containsText" dxfId="56" priority="44" operator="containsText" text="Additional Attenuation Required">
      <formula>NOT(ISERROR(SEARCH("Additional Attenuation Required",M24)))</formula>
    </cfRule>
  </conditionalFormatting>
  <conditionalFormatting sqref="M25">
    <cfRule type="containsText" dxfId="55" priority="41" operator="containsText" text="Attenuation sufficient">
      <formula>NOT(ISERROR(SEARCH("Attenuation sufficient",M25)))</formula>
    </cfRule>
    <cfRule type="containsText" dxfId="54" priority="42" operator="containsText" text="Additional Attenuation Required">
      <formula>NOT(ISERROR(SEARCH("Additional Attenuation Required",M25)))</formula>
    </cfRule>
  </conditionalFormatting>
  <conditionalFormatting sqref="M28">
    <cfRule type="containsText" dxfId="53" priority="39" operator="containsText" text="Attenuation sufficient">
      <formula>NOT(ISERROR(SEARCH("Attenuation sufficient",M28)))</formula>
    </cfRule>
    <cfRule type="containsText" dxfId="52" priority="40" operator="containsText" text="Additional Attenuation Required">
      <formula>NOT(ISERROR(SEARCH("Additional Attenuation Required",M28)))</formula>
    </cfRule>
  </conditionalFormatting>
  <conditionalFormatting sqref="M29">
    <cfRule type="containsText" dxfId="51" priority="37" operator="containsText" text="Attenuation sufficient">
      <formula>NOT(ISERROR(SEARCH("Attenuation sufficient",M29)))</formula>
    </cfRule>
    <cfRule type="containsText" dxfId="50" priority="38" operator="containsText" text="Additional Attenuation Required">
      <formula>NOT(ISERROR(SEARCH("Additional Attenuation Required",M29)))</formula>
    </cfRule>
  </conditionalFormatting>
  <conditionalFormatting sqref="M30">
    <cfRule type="containsText" dxfId="49" priority="35" operator="containsText" text="Attenuation sufficient">
      <formula>NOT(ISERROR(SEARCH("Attenuation sufficient",M30)))</formula>
    </cfRule>
    <cfRule type="containsText" dxfId="48" priority="36" operator="containsText" text="Additional Attenuation Required">
      <formula>NOT(ISERROR(SEARCH("Additional Attenuation Required",M30)))</formula>
    </cfRule>
  </conditionalFormatting>
  <conditionalFormatting sqref="M31">
    <cfRule type="containsText" dxfId="47" priority="33" operator="containsText" text="Attenuation sufficient">
      <formula>NOT(ISERROR(SEARCH("Attenuation sufficient",M31)))</formula>
    </cfRule>
    <cfRule type="containsText" dxfId="46" priority="34" operator="containsText" text="Additional Attenuation Required">
      <formula>NOT(ISERROR(SEARCH("Additional Attenuation Required",M31)))</formula>
    </cfRule>
  </conditionalFormatting>
  <conditionalFormatting sqref="M34">
    <cfRule type="containsText" dxfId="45" priority="31" operator="containsText" text="Attenuation sufficient">
      <formula>NOT(ISERROR(SEARCH("Attenuation sufficient",M34)))</formula>
    </cfRule>
    <cfRule type="containsText" dxfId="44" priority="32" operator="containsText" text="Additional Attenuation Required">
      <formula>NOT(ISERROR(SEARCH("Additional Attenuation Required",M34)))</formula>
    </cfRule>
  </conditionalFormatting>
  <conditionalFormatting sqref="M35">
    <cfRule type="containsText" dxfId="43" priority="29" operator="containsText" text="Attenuation sufficient">
      <formula>NOT(ISERROR(SEARCH("Attenuation sufficient",M35)))</formula>
    </cfRule>
    <cfRule type="containsText" dxfId="42" priority="30" operator="containsText" text="Additional Attenuation Required">
      <formula>NOT(ISERROR(SEARCH("Additional Attenuation Required",M35)))</formula>
    </cfRule>
  </conditionalFormatting>
  <conditionalFormatting sqref="M36">
    <cfRule type="containsText" dxfId="41" priority="27" operator="containsText" text="Attenuation sufficient">
      <formula>NOT(ISERROR(SEARCH("Attenuation sufficient",M36)))</formula>
    </cfRule>
    <cfRule type="containsText" dxfId="40" priority="28" operator="containsText" text="Additional Attenuation Required">
      <formula>NOT(ISERROR(SEARCH("Additional Attenuation Required",M36)))</formula>
    </cfRule>
  </conditionalFormatting>
  <conditionalFormatting sqref="M37">
    <cfRule type="containsText" dxfId="39" priority="25" operator="containsText" text="Attenuation sufficient">
      <formula>NOT(ISERROR(SEARCH("Attenuation sufficient",M37)))</formula>
    </cfRule>
    <cfRule type="containsText" dxfId="38" priority="26" operator="containsText" text="Additional Attenuation Required">
      <formula>NOT(ISERROR(SEARCH("Additional Attenuation Required",M37)))</formula>
    </cfRule>
  </conditionalFormatting>
  <conditionalFormatting sqref="M40">
    <cfRule type="containsText" dxfId="37" priority="23" operator="containsText" text="Attenuation sufficient">
      <formula>NOT(ISERROR(SEARCH("Attenuation sufficient",M40)))</formula>
    </cfRule>
    <cfRule type="containsText" dxfId="36" priority="24" operator="containsText" text="Additional Attenuation Required">
      <formula>NOT(ISERROR(SEARCH("Additional Attenuation Required",M40)))</formula>
    </cfRule>
  </conditionalFormatting>
  <conditionalFormatting sqref="M41">
    <cfRule type="containsText" dxfId="35" priority="21" operator="containsText" text="Attenuation sufficient">
      <formula>NOT(ISERROR(SEARCH("Attenuation sufficient",M41)))</formula>
    </cfRule>
    <cfRule type="containsText" dxfId="34" priority="22" operator="containsText" text="Additional Attenuation Required">
      <formula>NOT(ISERROR(SEARCH("Additional Attenuation Required",M41)))</formula>
    </cfRule>
  </conditionalFormatting>
  <conditionalFormatting sqref="M42">
    <cfRule type="containsText" dxfId="33" priority="19" operator="containsText" text="Attenuation sufficient">
      <formula>NOT(ISERROR(SEARCH("Attenuation sufficient",M42)))</formula>
    </cfRule>
    <cfRule type="containsText" dxfId="32" priority="20" operator="containsText" text="Additional Attenuation Required">
      <formula>NOT(ISERROR(SEARCH("Additional Attenuation Required",M42)))</formula>
    </cfRule>
  </conditionalFormatting>
  <conditionalFormatting sqref="M43">
    <cfRule type="containsText" dxfId="31" priority="17" operator="containsText" text="Attenuation sufficient">
      <formula>NOT(ISERROR(SEARCH("Attenuation sufficient",M43)))</formula>
    </cfRule>
    <cfRule type="containsText" dxfId="30" priority="18" operator="containsText" text="Additional Attenuation Required">
      <formula>NOT(ISERROR(SEARCH("Additional Attenuation Required",M43)))</formula>
    </cfRule>
  </conditionalFormatting>
  <conditionalFormatting sqref="M46">
    <cfRule type="containsText" dxfId="29" priority="15" operator="containsText" text="Attenuation sufficient">
      <formula>NOT(ISERROR(SEARCH("Attenuation sufficient",M46)))</formula>
    </cfRule>
    <cfRule type="containsText" dxfId="28" priority="16" operator="containsText" text="Additional Attenuation Required">
      <formula>NOT(ISERROR(SEARCH("Additional Attenuation Required",M46)))</formula>
    </cfRule>
  </conditionalFormatting>
  <conditionalFormatting sqref="M47">
    <cfRule type="containsText" dxfId="27" priority="13" operator="containsText" text="Attenuation sufficient">
      <formula>NOT(ISERROR(SEARCH("Attenuation sufficient",M47)))</formula>
    </cfRule>
    <cfRule type="containsText" dxfId="26" priority="14" operator="containsText" text="Additional Attenuation Required">
      <formula>NOT(ISERROR(SEARCH("Additional Attenuation Required",M47)))</formula>
    </cfRule>
  </conditionalFormatting>
  <conditionalFormatting sqref="M48">
    <cfRule type="containsText" dxfId="25" priority="11" operator="containsText" text="Attenuation sufficient">
      <formula>NOT(ISERROR(SEARCH("Attenuation sufficient",M48)))</formula>
    </cfRule>
    <cfRule type="containsText" dxfId="24" priority="12" operator="containsText" text="Additional Attenuation Required">
      <formula>NOT(ISERROR(SEARCH("Additional Attenuation Required",M48)))</formula>
    </cfRule>
  </conditionalFormatting>
  <conditionalFormatting sqref="M49">
    <cfRule type="containsText" dxfId="23" priority="9" operator="containsText" text="Attenuation sufficient">
      <formula>NOT(ISERROR(SEARCH("Attenuation sufficient",M49)))</formula>
    </cfRule>
    <cfRule type="containsText" dxfId="22" priority="10" operator="containsText" text="Additional Attenuation Required">
      <formula>NOT(ISERROR(SEARCH("Additional Attenuation Required",M49)))</formula>
    </cfRule>
  </conditionalFormatting>
  <conditionalFormatting sqref="M52">
    <cfRule type="containsText" dxfId="21" priority="7" operator="containsText" text="Attenuation sufficient">
      <formula>NOT(ISERROR(SEARCH("Attenuation sufficient",M52)))</formula>
    </cfRule>
    <cfRule type="containsText" dxfId="20" priority="8" operator="containsText" text="Additional Attenuation Required">
      <formula>NOT(ISERROR(SEARCH("Additional Attenuation Required",M52)))</formula>
    </cfRule>
  </conditionalFormatting>
  <conditionalFormatting sqref="M53">
    <cfRule type="containsText" dxfId="19" priority="5" operator="containsText" text="Attenuation sufficient">
      <formula>NOT(ISERROR(SEARCH("Attenuation sufficient",M53)))</formula>
    </cfRule>
    <cfRule type="containsText" dxfId="18" priority="6" operator="containsText" text="Additional Attenuation Required">
      <formula>NOT(ISERROR(SEARCH("Additional Attenuation Required",M53)))</formula>
    </cfRule>
  </conditionalFormatting>
  <conditionalFormatting sqref="M54">
    <cfRule type="containsText" dxfId="17" priority="3" operator="containsText" text="Attenuation sufficient">
      <formula>NOT(ISERROR(SEARCH("Attenuation sufficient",M54)))</formula>
    </cfRule>
    <cfRule type="containsText" dxfId="16" priority="4" operator="containsText" text="Additional Attenuation Required">
      <formula>NOT(ISERROR(SEARCH("Additional Attenuation Required",M54)))</formula>
    </cfRule>
  </conditionalFormatting>
  <conditionalFormatting sqref="M55">
    <cfRule type="containsText" dxfId="15" priority="1" operator="containsText" text="Attenuation sufficient">
      <formula>NOT(ISERROR(SEARCH("Attenuation sufficient",M55)))</formula>
    </cfRule>
    <cfRule type="containsText" dxfId="14" priority="2" operator="containsText" text="Additional Attenuation Required">
      <formula>NOT(ISERROR(SEARCH("Additional Attenuation Required",M55)))</formula>
    </cfRule>
  </conditionalFormatting>
  <printOptions horizontalCentered="1" verticalCentered="1"/>
  <pageMargins left="0.45" right="0.45" top="0.5" bottom="0.5" header="0.3" footer="0.3"/>
  <pageSetup scale="54" orientation="landscape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9" operator="containsText" id="{6217077F-CCAB-4AC4-94E1-AF5FA4B82A05}">
            <xm:f>NOT(ISERROR(SEARCH("YES",J10)))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J10:J12</xm:sqref>
        </x14:conditionalFormatting>
        <x14:conditionalFormatting xmlns:xm="http://schemas.microsoft.com/office/excel/2006/main">
          <x14:cfRule type="containsText" priority="199" operator="containsText" id="{2DBE48D6-0B86-45AE-9028-20724B5CA6A5}">
            <xm:f>NOT(ISERROR(SEARCH("YES",J40)))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J40:J42</xm:sqref>
        </x14:conditionalFormatting>
        <x14:conditionalFormatting xmlns:xm="http://schemas.microsoft.com/office/excel/2006/main">
          <x14:cfRule type="containsText" priority="203" operator="containsText" id="{E75AA5F7-383A-41D7-93AB-3E01B542BCD0}">
            <xm:f>NOT(ISERROR(SEARCH("YES",J28)))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J28:J30</xm:sqref>
        </x14:conditionalFormatting>
        <x14:conditionalFormatting xmlns:xm="http://schemas.microsoft.com/office/excel/2006/main">
          <x14:cfRule type="containsText" priority="201" operator="containsText" id="{0FB50FB2-F5E2-4288-9BB3-5DA7C94BDEAC}">
            <xm:f>NOT(ISERROR(SEARCH("YES",J34)))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J34:J36</xm:sqref>
        </x14:conditionalFormatting>
        <x14:conditionalFormatting xmlns:xm="http://schemas.microsoft.com/office/excel/2006/main">
          <x14:cfRule type="containsText" priority="207" operator="containsText" id="{51AD6872-B8C4-4373-A3CE-C1212E40EE4C}">
            <xm:f>NOT(ISERROR(SEARCH("YES",J16)))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J16:J18</xm:sqref>
        </x14:conditionalFormatting>
        <x14:conditionalFormatting xmlns:xm="http://schemas.microsoft.com/office/excel/2006/main">
          <x14:cfRule type="containsText" priority="205" operator="containsText" id="{00710CBF-4EDB-472E-A964-F1FC6092D2AE}">
            <xm:f>NOT(ISERROR(SEARCH("YES",J22)))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J22:J24</xm:sqref>
        </x14:conditionalFormatting>
        <x14:conditionalFormatting xmlns:xm="http://schemas.microsoft.com/office/excel/2006/main">
          <x14:cfRule type="containsText" priority="197" operator="containsText" id="{57D309FF-FA1B-43CF-8121-CB748FEC9433}">
            <xm:f>NOT(ISERROR(SEARCH("YES",J46)))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J46:J48</xm:sqref>
        </x14:conditionalFormatting>
        <x14:conditionalFormatting xmlns:xm="http://schemas.microsoft.com/office/excel/2006/main">
          <x14:cfRule type="containsText" priority="195" operator="containsText" id="{1E94A2D4-05C2-427D-B440-AF985D46D509}">
            <xm:f>NOT(ISERROR(SEARCH("YES",J52)))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J52:J54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T21"/>
  <sheetViews>
    <sheetView workbookViewId="0">
      <selection activeCell="C1" sqref="C1:D1"/>
    </sheetView>
  </sheetViews>
  <sheetFormatPr defaultRowHeight="15" x14ac:dyDescent="0.25"/>
  <cols>
    <col min="1" max="1" width="8.85546875" customWidth="1"/>
    <col min="2" max="9" width="15.7109375" customWidth="1"/>
    <col min="10" max="10" width="19.85546875" customWidth="1"/>
    <col min="15" max="15" width="0" hidden="1" customWidth="1"/>
    <col min="16" max="16" width="14.85546875" hidden="1" customWidth="1"/>
    <col min="17" max="18" width="0" hidden="1" customWidth="1"/>
    <col min="19" max="19" width="12.7109375" hidden="1" customWidth="1"/>
    <col min="20" max="20" width="0" hidden="1" customWidth="1"/>
  </cols>
  <sheetData>
    <row r="1" spans="1:20" ht="18" x14ac:dyDescent="0.3">
      <c r="A1" s="115"/>
      <c r="B1" s="116" t="s">
        <v>0</v>
      </c>
      <c r="C1" s="360" t="str">
        <f>'Worksheet 1 (SOV and SCM AREA)'!C1</f>
        <v>Example Project</v>
      </c>
      <c r="D1" s="360"/>
      <c r="E1" s="117"/>
      <c r="F1" s="118"/>
      <c r="G1" s="118"/>
      <c r="H1" s="118"/>
      <c r="J1" s="119" t="s">
        <v>156</v>
      </c>
    </row>
    <row r="2" spans="1:20" ht="16.5" x14ac:dyDescent="0.3">
      <c r="A2" s="115"/>
      <c r="B2" s="116" t="s">
        <v>4</v>
      </c>
      <c r="C2" s="361">
        <f>'Worksheet 1 (SOV and SCM AREA)'!C2</f>
        <v>43068</v>
      </c>
      <c r="D2" s="361"/>
      <c r="E2" s="126"/>
      <c r="F2" s="118"/>
      <c r="G2" s="127"/>
      <c r="H2" s="118"/>
      <c r="I2" s="128"/>
    </row>
    <row r="3" spans="1:20" ht="16.5" x14ac:dyDescent="0.3">
      <c r="A3" s="115"/>
      <c r="B3" s="116" t="s">
        <v>5</v>
      </c>
      <c r="C3" s="360" t="str">
        <f>'Worksheet 1 (SOV and SCM AREA)'!C3</f>
        <v>I. B. A'Designer</v>
      </c>
      <c r="D3" s="360"/>
      <c r="E3" s="131"/>
      <c r="F3" s="118"/>
      <c r="G3" s="127"/>
      <c r="H3" s="118"/>
      <c r="I3" s="132"/>
    </row>
    <row r="4" spans="1:20" ht="16.5" x14ac:dyDescent="0.3">
      <c r="A4" s="115"/>
      <c r="B4" s="126"/>
      <c r="C4" s="126"/>
      <c r="D4" s="126"/>
      <c r="E4" s="133"/>
      <c r="F4" s="134"/>
      <c r="G4" s="128"/>
      <c r="H4" s="128"/>
      <c r="I4" s="132"/>
    </row>
    <row r="5" spans="1:20" ht="16.5" x14ac:dyDescent="0.3">
      <c r="A5" s="115"/>
      <c r="B5" s="137"/>
      <c r="C5" s="118" t="s">
        <v>6</v>
      </c>
      <c r="D5" s="115"/>
      <c r="E5" s="138"/>
      <c r="F5" s="118"/>
      <c r="G5" s="118"/>
      <c r="H5" s="118"/>
      <c r="I5" s="132"/>
    </row>
    <row r="6" spans="1:20" ht="13.5" customHeight="1" thickBot="1" x14ac:dyDescent="0.3"/>
    <row r="7" spans="1:20" ht="12.75" customHeight="1" x14ac:dyDescent="0.25">
      <c r="B7" s="388" t="str">
        <f>'Worksheet 1 (SOV and SCM AREA)'!C1&amp;" Summary Table"</f>
        <v>Example Project Summary Table</v>
      </c>
      <c r="C7" s="389"/>
      <c r="D7" s="389"/>
      <c r="E7" s="389"/>
      <c r="F7" s="389"/>
      <c r="G7" s="389"/>
      <c r="H7" s="389"/>
      <c r="I7" s="389"/>
      <c r="J7" s="390"/>
    </row>
    <row r="8" spans="1:20" ht="12.75" customHeight="1" x14ac:dyDescent="0.25">
      <c r="B8" s="391"/>
      <c r="C8" s="392"/>
      <c r="D8" s="392"/>
      <c r="E8" s="392"/>
      <c r="F8" s="392"/>
      <c r="G8" s="392"/>
      <c r="H8" s="392"/>
      <c r="I8" s="392"/>
      <c r="J8" s="393"/>
    </row>
    <row r="9" spans="1:20" ht="8.25" customHeight="1" x14ac:dyDescent="0.25">
      <c r="B9" s="391"/>
      <c r="C9" s="392"/>
      <c r="D9" s="392"/>
      <c r="E9" s="392"/>
      <c r="F9" s="392"/>
      <c r="G9" s="392"/>
      <c r="H9" s="392"/>
      <c r="I9" s="392"/>
      <c r="J9" s="393"/>
    </row>
    <row r="10" spans="1:20" ht="7.5" customHeight="1" thickBot="1" x14ac:dyDescent="0.3">
      <c r="B10" s="394"/>
      <c r="C10" s="395"/>
      <c r="D10" s="395"/>
      <c r="E10" s="395"/>
      <c r="F10" s="395"/>
      <c r="G10" s="395"/>
      <c r="H10" s="395"/>
      <c r="I10" s="395"/>
      <c r="J10" s="396"/>
    </row>
    <row r="11" spans="1:20" ht="57" customHeight="1" x14ac:dyDescent="0.25">
      <c r="B11" s="85" t="s">
        <v>85</v>
      </c>
      <c r="C11" s="86" t="s">
        <v>143</v>
      </c>
      <c r="D11" s="86" t="s">
        <v>144</v>
      </c>
      <c r="E11" s="87" t="s">
        <v>153</v>
      </c>
      <c r="F11" s="278" t="s">
        <v>154</v>
      </c>
      <c r="G11" s="278" t="s">
        <v>145</v>
      </c>
      <c r="H11" s="278" t="s">
        <v>105</v>
      </c>
      <c r="I11" s="192" t="s">
        <v>155</v>
      </c>
      <c r="J11" s="194" t="s">
        <v>146</v>
      </c>
    </row>
    <row r="12" spans="1:20" ht="16.5" customHeight="1" thickBot="1" x14ac:dyDescent="0.3">
      <c r="B12" s="279"/>
      <c r="C12" s="91" t="s">
        <v>74</v>
      </c>
      <c r="D12" s="91" t="s">
        <v>74</v>
      </c>
      <c r="E12" s="90" t="s">
        <v>76</v>
      </c>
      <c r="F12" s="280" t="s">
        <v>76</v>
      </c>
      <c r="G12" s="280" t="s">
        <v>76</v>
      </c>
      <c r="H12" s="280"/>
      <c r="I12" s="146" t="s">
        <v>76</v>
      </c>
      <c r="J12" s="281"/>
    </row>
    <row r="13" spans="1:20" ht="16.5" x14ac:dyDescent="0.25">
      <c r="B13" s="282">
        <v>1</v>
      </c>
      <c r="C13" s="98">
        <f>SUMIF('Worksheet 1 (SOV and SCM AREA)'!$S$52:$S$100,'Summary Table'!B13,'Worksheet 1 (SOV and SCM AREA)'!$E$52:$E$101)</f>
        <v>0</v>
      </c>
      <c r="D13" s="98">
        <f>SUMIF('Worksheet 1 (SOV and SCM AREA)'!$S$52:$S$100,'Summary Table'!B13,'Worksheet 1 (SOV and SCM AREA)'!$P$52:$P$100)</f>
        <v>0</v>
      </c>
      <c r="E13" s="98">
        <f>SUMIF('Worksheet 1 (SOV and SCM AREA)'!$S$52:$S$100,'Summary Table'!B13,'Worksheet 1 (SOV and SCM AREA)'!$H$52:$H$101)</f>
        <v>0</v>
      </c>
      <c r="F13" s="148">
        <f>'Worksheet 2 Restorative Credits'!H10</f>
        <v>0</v>
      </c>
      <c r="G13" s="148">
        <f>'Worksheet 3 (SCM Sizing)'!L11</f>
        <v>0</v>
      </c>
      <c r="H13" s="148" t="str">
        <f>'Worksheet 3 (SCM Sizing)'!N11</f>
        <v>N/A</v>
      </c>
      <c r="I13" s="148">
        <f>'Worksheet 3 (SCM Sizing)'!K11</f>
        <v>0</v>
      </c>
      <c r="J13" s="207" t="str">
        <f t="shared" ref="J13:J21" si="0">IF(G13=0,"N/A",IF(I13&gt;G13,"YES","NO"))</f>
        <v>N/A</v>
      </c>
      <c r="P13" t="s">
        <v>157</v>
      </c>
      <c r="Q13" t="str">
        <f t="shared" ref="Q13:Q20" si="1">IF(C13=0,"0",(D13/C13))</f>
        <v>0</v>
      </c>
      <c r="S13" t="s">
        <v>158</v>
      </c>
      <c r="T13">
        <f t="shared" ref="T13:T20" si="2">1-Q13</f>
        <v>1</v>
      </c>
    </row>
    <row r="14" spans="1:20" ht="16.5" x14ac:dyDescent="0.25">
      <c r="B14" s="263">
        <v>2</v>
      </c>
      <c r="C14" s="98">
        <f>SUMIF('Worksheet 1 (SOV and SCM AREA)'!$S$52:$S$100,'Summary Table'!B14,'Worksheet 1 (SOV and SCM AREA)'!$E$52:$E$101)</f>
        <v>0</v>
      </c>
      <c r="D14" s="98">
        <f>SUMIF('Worksheet 1 (SOV and SCM AREA)'!$S$52:$S$100,'Summary Table'!B14,'Worksheet 1 (SOV and SCM AREA)'!$P$52:$P$100)</f>
        <v>0</v>
      </c>
      <c r="E14" s="98">
        <f>SUMIF('Worksheet 1 (SOV and SCM AREA)'!$S$52:$S$100,'Summary Table'!B14,'Worksheet 1 (SOV and SCM AREA)'!$H$52:$H$101)</f>
        <v>0</v>
      </c>
      <c r="F14" s="158">
        <f>'Worksheet 2 Restorative Credits'!H14</f>
        <v>0</v>
      </c>
      <c r="G14" s="158">
        <f>'Worksheet 3 (SCM Sizing)'!L15</f>
        <v>0</v>
      </c>
      <c r="H14" s="158" t="str">
        <f>'Worksheet 3 (SCM Sizing)'!N15</f>
        <v>N/A</v>
      </c>
      <c r="I14" s="158">
        <f>'Worksheet 3 (SCM Sizing)'!K15</f>
        <v>0</v>
      </c>
      <c r="J14" s="283" t="str">
        <f t="shared" si="0"/>
        <v>N/A</v>
      </c>
      <c r="P14" t="s">
        <v>157</v>
      </c>
      <c r="Q14" t="str">
        <f t="shared" si="1"/>
        <v>0</v>
      </c>
      <c r="S14" t="s">
        <v>158</v>
      </c>
      <c r="T14">
        <f t="shared" si="2"/>
        <v>1</v>
      </c>
    </row>
    <row r="15" spans="1:20" ht="16.5" x14ac:dyDescent="0.25">
      <c r="B15" s="263">
        <v>3</v>
      </c>
      <c r="C15" s="98">
        <f>SUMIF('Worksheet 1 (SOV and SCM AREA)'!$S$52:$S$100,'Summary Table'!B15,'Worksheet 1 (SOV and SCM AREA)'!$E$52:$E$101)</f>
        <v>0</v>
      </c>
      <c r="D15" s="98">
        <f>SUMIF('Worksheet 1 (SOV and SCM AREA)'!$S$52:$S$100,'Summary Table'!B15,'Worksheet 1 (SOV and SCM AREA)'!$P$52:$P$100)</f>
        <v>0</v>
      </c>
      <c r="E15" s="98">
        <f>SUMIF('Worksheet 1 (SOV and SCM AREA)'!$S$52:$S$100,'Summary Table'!B15,'Worksheet 1 (SOV and SCM AREA)'!$H$52:$H$101)</f>
        <v>0</v>
      </c>
      <c r="F15" s="158">
        <f>'Worksheet 2 Restorative Credits'!H18</f>
        <v>0</v>
      </c>
      <c r="G15" s="158">
        <f>'Worksheet 3 (SCM Sizing)'!L19</f>
        <v>0</v>
      </c>
      <c r="H15" s="158" t="str">
        <f>'Worksheet 3 (SCM Sizing)'!N19</f>
        <v>N/A</v>
      </c>
      <c r="I15" s="158">
        <f>'Worksheet 3 (SCM Sizing)'!K19</f>
        <v>0</v>
      </c>
      <c r="J15" s="283" t="str">
        <f t="shared" si="0"/>
        <v>N/A</v>
      </c>
      <c r="P15" t="s">
        <v>157</v>
      </c>
      <c r="Q15" t="str">
        <f t="shared" si="1"/>
        <v>0</v>
      </c>
      <c r="S15" t="s">
        <v>158</v>
      </c>
      <c r="T15">
        <f t="shared" si="2"/>
        <v>1</v>
      </c>
    </row>
    <row r="16" spans="1:20" ht="16.5" x14ac:dyDescent="0.25">
      <c r="B16" s="263">
        <v>4</v>
      </c>
      <c r="C16" s="98">
        <f>SUMIF('Worksheet 1 (SOV and SCM AREA)'!$S$52:$S$100,'Summary Table'!B16,'Worksheet 1 (SOV and SCM AREA)'!$E$52:$E$101)</f>
        <v>0</v>
      </c>
      <c r="D16" s="98">
        <f>SUMIF('Worksheet 1 (SOV and SCM AREA)'!$S$52:$S$100,'Summary Table'!B16,'Worksheet 1 (SOV and SCM AREA)'!$P$52:$P$100)</f>
        <v>0</v>
      </c>
      <c r="E16" s="98">
        <f>SUMIF('Worksheet 1 (SOV and SCM AREA)'!$S$52:$S$100,'Summary Table'!B16,'Worksheet 1 (SOV and SCM AREA)'!$H$52:$H$101)</f>
        <v>0</v>
      </c>
      <c r="F16" s="158">
        <f>'Worksheet 2 Restorative Credits'!H22</f>
        <v>0</v>
      </c>
      <c r="G16" s="158">
        <f>'Worksheet 3 (SCM Sizing)'!L23</f>
        <v>0</v>
      </c>
      <c r="H16" s="158" t="str">
        <f>'Worksheet 3 (SCM Sizing)'!N23</f>
        <v>N/A</v>
      </c>
      <c r="I16" s="158">
        <f>'Worksheet 3 (SCM Sizing)'!K23</f>
        <v>0</v>
      </c>
      <c r="J16" s="283" t="str">
        <f t="shared" si="0"/>
        <v>N/A</v>
      </c>
      <c r="P16" t="s">
        <v>157</v>
      </c>
      <c r="Q16" t="str">
        <f t="shared" si="1"/>
        <v>0</v>
      </c>
      <c r="S16" t="s">
        <v>158</v>
      </c>
      <c r="T16">
        <f t="shared" si="2"/>
        <v>1</v>
      </c>
    </row>
    <row r="17" spans="2:20" ht="16.5" x14ac:dyDescent="0.25">
      <c r="B17" s="263">
        <v>5</v>
      </c>
      <c r="C17" s="98">
        <f>SUMIF('Worksheet 1 (SOV and SCM AREA)'!$S$52:$S$100,'Summary Table'!B17,'Worksheet 1 (SOV and SCM AREA)'!$E$52:$E$101)</f>
        <v>0</v>
      </c>
      <c r="D17" s="98">
        <f>SUMIF('Worksheet 1 (SOV and SCM AREA)'!$S$52:$S$100,'Summary Table'!B17,'Worksheet 1 (SOV and SCM AREA)'!$P$52:$P$100)</f>
        <v>0</v>
      </c>
      <c r="E17" s="98">
        <f>SUMIF('Worksheet 1 (SOV and SCM AREA)'!$S$52:$S$100,'Summary Table'!B17,'Worksheet 1 (SOV and SCM AREA)'!$H$52:$H$101)</f>
        <v>0</v>
      </c>
      <c r="F17" s="158">
        <f>'Worksheet 2 Restorative Credits'!H26</f>
        <v>0</v>
      </c>
      <c r="G17" s="158">
        <f>'Worksheet 3 (SCM Sizing)'!L27</f>
        <v>0</v>
      </c>
      <c r="H17" s="158" t="str">
        <f>'Worksheet 3 (SCM Sizing)'!N27</f>
        <v>N/A</v>
      </c>
      <c r="I17" s="158">
        <f>'Worksheet 3 (SCM Sizing)'!K27</f>
        <v>0</v>
      </c>
      <c r="J17" s="283" t="str">
        <f t="shared" si="0"/>
        <v>N/A</v>
      </c>
      <c r="P17" t="s">
        <v>157</v>
      </c>
      <c r="Q17" t="str">
        <f t="shared" si="1"/>
        <v>0</v>
      </c>
      <c r="S17" t="s">
        <v>158</v>
      </c>
      <c r="T17">
        <f t="shared" si="2"/>
        <v>1</v>
      </c>
    </row>
    <row r="18" spans="2:20" ht="16.5" x14ac:dyDescent="0.25">
      <c r="B18" s="263">
        <v>6</v>
      </c>
      <c r="C18" s="98">
        <f>SUMIF('Worksheet 1 (SOV and SCM AREA)'!$S$52:$S$100,'Summary Table'!B18,'Worksheet 1 (SOV and SCM AREA)'!$E$52:$E$101)</f>
        <v>0</v>
      </c>
      <c r="D18" s="98">
        <f>SUMIF('Worksheet 1 (SOV and SCM AREA)'!$S$52:$S$100,'Summary Table'!B18,'Worksheet 1 (SOV and SCM AREA)'!$P$52:$P$100)</f>
        <v>0</v>
      </c>
      <c r="E18" s="98">
        <f>SUMIF('Worksheet 1 (SOV and SCM AREA)'!$S$52:$S$100,'Summary Table'!B18,'Worksheet 1 (SOV and SCM AREA)'!$H$52:$H$101)</f>
        <v>0</v>
      </c>
      <c r="F18" s="158">
        <f>'Worksheet 2 Restorative Credits'!H30</f>
        <v>0</v>
      </c>
      <c r="G18" s="158">
        <f>'Worksheet 3 (SCM Sizing)'!L31</f>
        <v>0</v>
      </c>
      <c r="H18" s="158" t="str">
        <f>'Worksheet 3 (SCM Sizing)'!N31</f>
        <v>N/A</v>
      </c>
      <c r="I18" s="158">
        <f>'Worksheet 3 (SCM Sizing)'!K31</f>
        <v>0</v>
      </c>
      <c r="J18" s="283" t="str">
        <f t="shared" si="0"/>
        <v>N/A</v>
      </c>
      <c r="P18" t="s">
        <v>157</v>
      </c>
      <c r="Q18" t="str">
        <f t="shared" si="1"/>
        <v>0</v>
      </c>
      <c r="S18" t="s">
        <v>158</v>
      </c>
      <c r="T18">
        <f t="shared" si="2"/>
        <v>1</v>
      </c>
    </row>
    <row r="19" spans="2:20" ht="16.5" x14ac:dyDescent="0.25">
      <c r="B19" s="263">
        <v>7</v>
      </c>
      <c r="C19" s="98">
        <f>SUMIF('Worksheet 1 (SOV and SCM AREA)'!$S$52:$S$100,'Summary Table'!B19,'Worksheet 1 (SOV and SCM AREA)'!$E$52:$E$101)</f>
        <v>0</v>
      </c>
      <c r="D19" s="98">
        <f>SUMIF('Worksheet 1 (SOV and SCM AREA)'!$S$52:$S$100,'Summary Table'!B19,'Worksheet 1 (SOV and SCM AREA)'!$P$52:$P$100)</f>
        <v>0</v>
      </c>
      <c r="E19" s="98">
        <f>SUMIF('Worksheet 1 (SOV and SCM AREA)'!$S$52:$S$100,'Summary Table'!B19,'Worksheet 1 (SOV and SCM AREA)'!$H$52:$H$101)</f>
        <v>0</v>
      </c>
      <c r="F19" s="158">
        <f>'Worksheet 2 Restorative Credits'!H34</f>
        <v>0</v>
      </c>
      <c r="G19" s="158">
        <f>'Worksheet 3 (SCM Sizing)'!L35</f>
        <v>0</v>
      </c>
      <c r="H19" s="158" t="str">
        <f>'Worksheet 3 (SCM Sizing)'!N35</f>
        <v>N/A</v>
      </c>
      <c r="I19" s="158">
        <f>'Worksheet 3 (SCM Sizing)'!K35</f>
        <v>0</v>
      </c>
      <c r="J19" s="283" t="str">
        <f t="shared" si="0"/>
        <v>N/A</v>
      </c>
      <c r="P19" t="s">
        <v>157</v>
      </c>
      <c r="Q19" t="str">
        <f t="shared" si="1"/>
        <v>0</v>
      </c>
      <c r="S19" t="s">
        <v>158</v>
      </c>
      <c r="T19">
        <f t="shared" si="2"/>
        <v>1</v>
      </c>
    </row>
    <row r="20" spans="2:20" ht="17.25" thickBot="1" x14ac:dyDescent="0.3">
      <c r="B20" s="263">
        <v>8</v>
      </c>
      <c r="C20" s="98">
        <f>SUMIF('Worksheet 1 (SOV and SCM AREA)'!$S$52:$S$100,'Summary Table'!B20,'Worksheet 1 (SOV and SCM AREA)'!$E$52:$E$101)</f>
        <v>0</v>
      </c>
      <c r="D20" s="98">
        <f>SUMIF('Worksheet 1 (SOV and SCM AREA)'!$S$52:$S$100,'Summary Table'!B20,'Worksheet 1 (SOV and SCM AREA)'!$P$52:$P$100)</f>
        <v>0</v>
      </c>
      <c r="E20" s="98">
        <f>SUMIF('Worksheet 1 (SOV and SCM AREA)'!$S$52:$S$100,'Summary Table'!B20,'Worksheet 1 (SOV and SCM AREA)'!$H$52:$H$101)</f>
        <v>0</v>
      </c>
      <c r="F20" s="158">
        <f>'Worksheet 2 Restorative Credits'!H38</f>
        <v>0</v>
      </c>
      <c r="G20" s="158">
        <f>'Worksheet 3 (SCM Sizing)'!L39</f>
        <v>0</v>
      </c>
      <c r="H20" s="158" t="str">
        <f>'Worksheet 3 (SCM Sizing)'!N39</f>
        <v>N/A</v>
      </c>
      <c r="I20" s="158">
        <f>'Worksheet 3 (SCM Sizing)'!K39</f>
        <v>0</v>
      </c>
      <c r="J20" s="283" t="str">
        <f t="shared" si="0"/>
        <v>N/A</v>
      </c>
      <c r="P20" t="s">
        <v>157</v>
      </c>
      <c r="Q20" t="str">
        <f t="shared" si="1"/>
        <v>0</v>
      </c>
      <c r="S20" t="s">
        <v>158</v>
      </c>
      <c r="T20">
        <f t="shared" si="2"/>
        <v>1</v>
      </c>
    </row>
    <row r="21" spans="2:20" ht="17.25" thickBot="1" x14ac:dyDescent="0.3">
      <c r="B21" s="159" t="s">
        <v>147</v>
      </c>
      <c r="C21" s="268">
        <f>SUM(C13:C20)</f>
        <v>0</v>
      </c>
      <c r="D21" s="268">
        <f>SUM(D13:D20)</f>
        <v>0</v>
      </c>
      <c r="E21" s="288">
        <f>SUM(E13:E20)</f>
        <v>0</v>
      </c>
      <c r="F21" s="289">
        <f>SUM(F13:F20)</f>
        <v>0</v>
      </c>
      <c r="G21" s="287">
        <f>SUM(G13:G20)</f>
        <v>0</v>
      </c>
      <c r="H21" s="287"/>
      <c r="I21" s="287">
        <f>SUM(I13:I20)</f>
        <v>0</v>
      </c>
      <c r="J21" s="284" t="str">
        <f t="shared" si="0"/>
        <v>N/A</v>
      </c>
    </row>
  </sheetData>
  <sheetProtection algorithmName="SHA-512" hashValue="tQ+qCYdCk4O0AtV7e672zrbNBPuDKfl3K0H8k0HF/TuO1TYGAiVKQRFLsXiMQvYcljrrrDJpbddAtTRh6bV69w==" saltValue="XQWWwx52rD8nrhLlItncdA==" spinCount="100000" sheet="1" objects="1" scenarios="1" selectLockedCells="1"/>
  <mergeCells count="4">
    <mergeCell ref="B7:J10"/>
    <mergeCell ref="C1:D1"/>
    <mergeCell ref="C2:D2"/>
    <mergeCell ref="C3:D3"/>
  </mergeCells>
  <conditionalFormatting sqref="J13:J20">
    <cfRule type="cellIs" dxfId="5" priority="6" operator="equal">
      <formula>"NO"</formula>
    </cfRule>
  </conditionalFormatting>
  <conditionalFormatting sqref="J21">
    <cfRule type="cellIs" dxfId="4" priority="4" operator="equal">
      <formula>"NO"</formula>
    </cfRule>
  </conditionalFormatting>
  <conditionalFormatting sqref="J13:J21">
    <cfRule type="containsText" dxfId="3" priority="1" operator="containsText" text="NO">
      <formula>NOT(ISERROR(SEARCH("NO",J13)))</formula>
    </cfRule>
    <cfRule type="containsText" dxfId="2" priority="2" operator="containsText" text="YES">
      <formula>NOT(ISERROR(SEARCH("YES",J13)))</formula>
    </cfRule>
  </conditionalFormatting>
  <printOptions horizontalCentered="1"/>
  <pageMargins left="0.7" right="0.7" top="0.75" bottom="0.75" header="0.3" footer="0.3"/>
  <pageSetup scale="7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7621BCF1-9085-4A1B-9749-CE15EEFB323C}">
            <xm:f>NOT(ISERROR(SEARCH("YES",J13)))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J13:J20</xm:sqref>
        </x14:conditionalFormatting>
        <x14:conditionalFormatting xmlns:xm="http://schemas.microsoft.com/office/excel/2006/main">
          <x14:cfRule type="containsText" priority="3" operator="containsText" id="{9BC439FB-3AF6-4665-AFA0-9DC60E57D29A}">
            <xm:f>NOT(ISERROR(SEARCH("YES",J21)))</xm:f>
            <xm:f>"YES"</xm:f>
            <x14:dxf>
              <fill>
                <patternFill>
                  <bgColor theme="6" tint="0.59996337778862885"/>
                </patternFill>
              </fill>
            </x14:dxf>
          </x14:cfRule>
          <xm:sqref>J21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Worksheet 1 (SOV and SCM AREA)</vt:lpstr>
      <vt:lpstr>Worksheet 2 Restorative Credits</vt:lpstr>
      <vt:lpstr>Worksheet 3 (SCM Sizing)</vt:lpstr>
      <vt:lpstr>Worksheet 4 (CN Adj)</vt:lpstr>
      <vt:lpstr>Summary Table</vt:lpstr>
    </vt:vector>
  </TitlesOfParts>
  <Company>City Of Chattanooga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Kinder, Tony</dc:creator>
  <cp:lastModifiedBy>Kinder, Tony</cp:lastModifiedBy>
  <cp:lastPrinted>2017-10-25T14:08:50Z</cp:lastPrinted>
  <dcterms:created xsi:type="dcterms:W3CDTF">2017-10-23T13:30:57Z</dcterms:created>
  <dcterms:modified xsi:type="dcterms:W3CDTF">2017-11-30T13:06:37Z</dcterms:modified>
</cp:coreProperties>
</file>